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35" windowHeight="9315" firstSheet="5" activeTab="10"/>
  </bookViews>
  <sheets>
    <sheet name="Stuðlar" sheetId="1" r:id="rId1"/>
    <sheet name="2008" sheetId="2" r:id="rId2"/>
    <sheet name="2009" sheetId="3" r:id="rId3"/>
    <sheet name="Nóv 2009" sheetId="4" r:id="rId4"/>
    <sheet name="júní 2010" sheetId="5" r:id="rId5"/>
    <sheet name="júní 2011" sheetId="6" r:id="rId6"/>
    <sheet name="1. febrúar 2012" sheetId="7" r:id="rId7"/>
    <sheet name="1. febrúar 2013" sheetId="8" r:id="rId8"/>
    <sheet name="1. janúar 2014" sheetId="9" r:id="rId9"/>
    <sheet name="1. maí 2015" sheetId="10" r:id="rId10"/>
    <sheet name="1.janúar 2016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<sst xmlns="http://schemas.openxmlformats.org/spreadsheetml/2006/main" count="962" uniqueCount="111">
  <si>
    <t>launaflokkabil</t>
  </si>
  <si>
    <t>Byrjunarl</t>
  </si>
  <si>
    <t>Flokkstjórar</t>
  </si>
  <si>
    <t>1 úlí 2006</t>
  </si>
  <si>
    <t>Á grunntaxta</t>
  </si>
  <si>
    <t xml:space="preserve">nemar </t>
  </si>
  <si>
    <t>Verkstjórar</t>
  </si>
  <si>
    <t>Deilitala dagvinnu</t>
  </si>
  <si>
    <t>Vaktaálag</t>
  </si>
  <si>
    <t>Yfirvinna</t>
  </si>
  <si>
    <t>Stórhátíð</t>
  </si>
  <si>
    <t>33% álag</t>
  </si>
  <si>
    <t>45% álag</t>
  </si>
  <si>
    <t xml:space="preserve">09 til 21 </t>
  </si>
  <si>
    <t>Orlofsuppbót</t>
  </si>
  <si>
    <t>Nemar</t>
  </si>
  <si>
    <t>10 til 22</t>
  </si>
  <si>
    <t>11 til 23</t>
  </si>
  <si>
    <t>Desemberuppbót</t>
  </si>
  <si>
    <t xml:space="preserve">  Launatafla frá 1. febrúar 2008</t>
  </si>
  <si>
    <t>Dagv.</t>
  </si>
  <si>
    <t>Yfirv.</t>
  </si>
  <si>
    <t>Stórh.</t>
  </si>
  <si>
    <t>Mánl.</t>
  </si>
  <si>
    <t>10 - 22</t>
  </si>
  <si>
    <t>11 - 23</t>
  </si>
  <si>
    <t>2 ára fanám skv. Sértakri námskrá</t>
  </si>
  <si>
    <t>Sérstakur launataxti í ákvæðisvinnu</t>
  </si>
  <si>
    <t>MATVÍS félagi með sveinsréttindi.</t>
  </si>
  <si>
    <t>Eftir 1. Ár</t>
  </si>
  <si>
    <t>Eftir 3. Ár</t>
  </si>
  <si>
    <t>MATVÍS félagi með a.m.k. 5 ára sveinsréttindi og meistararéttindi ( eftir meistarask).</t>
  </si>
  <si>
    <t xml:space="preserve">Flokksstjórar 15% </t>
  </si>
  <si>
    <t xml:space="preserve">Sveinar sem sérstaklega eru ráðnir til að haf á hendi flokksstjórn/vaktstjórn eða umsjón </t>
  </si>
  <si>
    <t xml:space="preserve">verka skv. skriflegum ráðningarsamningi en ganga jafnframt til alennra starfa iðnaðarmanna, </t>
  </si>
  <si>
    <t xml:space="preserve">skulu fá greitt sérstaklega fyrir  stjórnunarlega ábyrgð og hafa sem svarar 15% hærri laun </t>
  </si>
  <si>
    <t>en þeir ella hefðu.</t>
  </si>
  <si>
    <t>Mán. laun.</t>
  </si>
  <si>
    <t xml:space="preserve"> Nemar  launatafla frá 1. febrúar 2008</t>
  </si>
  <si>
    <t>Nemar fjögurra ár íðnnám</t>
  </si>
  <si>
    <t xml:space="preserve">1. ár </t>
  </si>
  <si>
    <t>2. ár</t>
  </si>
  <si>
    <t>3. ár</t>
  </si>
  <si>
    <t>4. ár</t>
  </si>
  <si>
    <t>Nemar þriggja ára nám</t>
  </si>
  <si>
    <t>12 tíma vaktir</t>
  </si>
  <si>
    <t>Vaktarálög</t>
  </si>
  <si>
    <t>Iðnaðarmenn með viðurkennd starfsréttindi að loknu 3ja ára fagnámi</t>
  </si>
  <si>
    <t>laun</t>
  </si>
  <si>
    <t>Eftir 1. ár</t>
  </si>
  <si>
    <t>Eftir 3. ár</t>
  </si>
  <si>
    <t>2ja ára nám</t>
  </si>
  <si>
    <t>3ja ára nám</t>
  </si>
  <si>
    <t>Eftir 1 ár</t>
  </si>
  <si>
    <t>Námsár</t>
  </si>
  <si>
    <t>1. ár</t>
  </si>
  <si>
    <t xml:space="preserve"> 5 ár</t>
  </si>
  <si>
    <t>Matr.</t>
  </si>
  <si>
    <t>Framr.</t>
  </si>
  <si>
    <t>Bak.</t>
  </si>
  <si>
    <t>Á viku</t>
  </si>
  <si>
    <t>Á mán.</t>
  </si>
  <si>
    <t>Fatapen.</t>
  </si>
  <si>
    <t xml:space="preserve">Orlofsuppbót frá 1.mai </t>
  </si>
  <si>
    <t xml:space="preserve">Desemberuppbót.        </t>
  </si>
  <si>
    <t>Orlofs- og desembeer uppót nema er af unnum tíma en ekki talinn með tími í skóla.</t>
  </si>
  <si>
    <t xml:space="preserve">  Launatafla frá 1. júlí 2009</t>
  </si>
  <si>
    <t xml:space="preserve">  Launatafla frá 1. júní 2010</t>
  </si>
  <si>
    <t xml:space="preserve">Orlofsuppb frá 1.mai </t>
  </si>
  <si>
    <t>verka skv. skriflegum ráðningarsamningi en ganga jafnframt til alennra starfa</t>
  </si>
  <si>
    <t xml:space="preserve"> iðnaðarmanna skulu fá greitt sérstaklega fyrir  stjórnunarlega ábyrgð og hafa sem svarar </t>
  </si>
  <si>
    <t>15% hærri laun en þeir ella hefðu.</t>
  </si>
  <si>
    <t xml:space="preserve"> Nemar  launatafla frá 1. júlí 2009</t>
  </si>
  <si>
    <t>2 ára fagnám skv. Sérstakri námskrá</t>
  </si>
  <si>
    <t xml:space="preserve">  Launatafla frá 1. nóvember 2009</t>
  </si>
  <si>
    <t>Ákvæðisv.</t>
  </si>
  <si>
    <t xml:space="preserve"> Nemar  launatafla frá 1. nóv 2009</t>
  </si>
  <si>
    <t xml:space="preserve"> Nemar  launatafla frá 1. júní 2010</t>
  </si>
  <si>
    <t xml:space="preserve">Sveinar sem sérstaklega eru ráðnir til að haf á hendi flokksstjórn/vaktstjórn eða  </t>
  </si>
  <si>
    <t xml:space="preserve"> Iðnaðarmanna skulu fá greitt sérstaklega fyrir  stjórnunarlega ábyrgð og hafa sem</t>
  </si>
  <si>
    <t xml:space="preserve"> svarar 15% hærri laun en þeir ella hefðu.</t>
  </si>
  <si>
    <t>umsjón verka skv. Skrifl. ráðningarsamningi en ganga jafnframt til almennra starfa</t>
  </si>
  <si>
    <t xml:space="preserve">  Launatafla frá 1. júní 2011</t>
  </si>
  <si>
    <t>Eftir  5 ár</t>
  </si>
  <si>
    <t>Eftir 3 ár</t>
  </si>
  <si>
    <t>Eftir 7 ár</t>
  </si>
  <si>
    <t xml:space="preserve">Eftir 5 ár </t>
  </si>
  <si>
    <t xml:space="preserve">Eftir 7 ár </t>
  </si>
  <si>
    <t xml:space="preserve">Yfirvinna </t>
  </si>
  <si>
    <t>á frídegi</t>
  </si>
  <si>
    <t xml:space="preserve"> Nemar  launatafla frá 1. júní 2011</t>
  </si>
  <si>
    <t xml:space="preserve">  Launatafla frá 1. febrúar 2012</t>
  </si>
  <si>
    <t xml:space="preserve"> Nemar  launatafla frá 1. feb. 2012</t>
  </si>
  <si>
    <t xml:space="preserve">  Launatafla frá 1. febrúar 2013</t>
  </si>
  <si>
    <t xml:space="preserve"> Nemar  launatafla frá 1. feb. 2013</t>
  </si>
  <si>
    <t xml:space="preserve">  Launatafla frá janúar 2014</t>
  </si>
  <si>
    <t xml:space="preserve"> Nemar  launatafla frá 1. jan. 2014</t>
  </si>
  <si>
    <t>Bak.á viku</t>
  </si>
  <si>
    <t>Launatafla frá 1. maí 2015</t>
  </si>
  <si>
    <t>MATVÍS félagi með a.m.k. 5 ára sveinsréttindi og meistararéttindi.</t>
  </si>
  <si>
    <t xml:space="preserve"> </t>
  </si>
  <si>
    <t xml:space="preserve"> Nemar  launatafla frá 1. maí  2015</t>
  </si>
  <si>
    <t>Launatafla frá 1. janúar 2016</t>
  </si>
  <si>
    <t>Mánaðarl.</t>
  </si>
  <si>
    <t>Á ári</t>
  </si>
  <si>
    <t xml:space="preserve">Skópeningar framreiðslumanna </t>
  </si>
  <si>
    <t xml:space="preserve"> Nemar  launatafla frá 1. janúar  2016</t>
  </si>
  <si>
    <t>Nemar fjögurra ár íðnnám frá 1.janúar 2016</t>
  </si>
  <si>
    <t>Nemar þriggja ára nám frá 1. janúrar 2016</t>
  </si>
  <si>
    <t xml:space="preserve">Á ári </t>
  </si>
  <si>
    <t>Skópeningar framreiðslumanna</t>
  </si>
</sst>
</file>

<file path=xl/styles.xml><?xml version="1.0" encoding="utf-8"?>
<styleSheet xmlns="http://schemas.openxmlformats.org/spreadsheetml/2006/main">
  <numFmts count="45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\ _k_r_._-;\-* #,##0\ _k_r_._-;_-* &quot;-&quot;\ _k_r_._-;_-@_-"/>
    <numFmt numFmtId="178" formatCode="_-* #,##0.00\ &quot;kr.&quot;_-;\-* #,##0.00\ &quot;kr.&quot;_-;_-* &quot;-&quot;??\ &quot;kr.&quot;_-;_-@_-"/>
    <numFmt numFmtId="179" formatCode="_-* #,##0.00\ _k_r_._-;\-* #,##0.00\ _k_r_._-;_-* &quot;-&quot;??\ _k_r_._-;_-@_-"/>
    <numFmt numFmtId="180" formatCode="[$-40F]d\.\ mmmm\ yyyy"/>
    <numFmt numFmtId="181" formatCode="_-* #,##0.0\ _k_r_._-;\-* #,##0.0\ _k_r_._-;_-* &quot;-&quot;??\ _k_r_._-;_-@_-"/>
    <numFmt numFmtId="182" formatCode="_-* #,##0\ _k_r_._-;\-* #,##0\ _k_r_._-;_-* &quot;-&quot;??\ _k_r_._-;_-@_-"/>
    <numFmt numFmtId="183" formatCode="#,##0.0"/>
    <numFmt numFmtId="184" formatCode="0.0%"/>
    <numFmt numFmtId="185" formatCode="0.000%"/>
    <numFmt numFmtId="186" formatCode="0.0000%"/>
    <numFmt numFmtId="187" formatCode="0.000000"/>
    <numFmt numFmtId="188" formatCode="0.0000000"/>
    <numFmt numFmtId="189" formatCode="0.00000"/>
    <numFmt numFmtId="190" formatCode="0.0000"/>
    <numFmt numFmtId="191" formatCode="0.000"/>
    <numFmt numFmtId="192" formatCode="0.00000%"/>
    <numFmt numFmtId="193" formatCode="0.0"/>
    <numFmt numFmtId="194" formatCode="#,##0.000"/>
    <numFmt numFmtId="195" formatCode="0.00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F400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81" fontId="0" fillId="0" borderId="0" xfId="42" applyNumberFormat="1" applyFont="1" applyAlignment="1">
      <alignment/>
    </xf>
    <xf numFmtId="182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3" fontId="43" fillId="0" borderId="0" xfId="0" applyNumberFormat="1" applyFont="1" applyAlignment="1">
      <alignment/>
    </xf>
    <xf numFmtId="3" fontId="43" fillId="0" borderId="0" xfId="0" applyNumberFormat="1" applyFont="1" applyBorder="1" applyAlignment="1">
      <alignment/>
    </xf>
    <xf numFmtId="3" fontId="43" fillId="0" borderId="0" xfId="0" applyNumberFormat="1" applyFont="1" applyBorder="1" applyAlignment="1">
      <alignment horizontal="center"/>
    </xf>
    <xf numFmtId="3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9" fontId="43" fillId="0" borderId="10" xfId="0" applyNumberFormat="1" applyFont="1" applyBorder="1" applyAlignment="1">
      <alignment/>
    </xf>
    <xf numFmtId="186" fontId="43" fillId="0" borderId="10" xfId="0" applyNumberFormat="1" applyFont="1" applyBorder="1" applyAlignment="1">
      <alignment/>
    </xf>
    <xf numFmtId="192" fontId="43" fillId="0" borderId="10" xfId="0" applyNumberFormat="1" applyFont="1" applyBorder="1" applyAlignment="1">
      <alignment/>
    </xf>
    <xf numFmtId="0" fontId="2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15" fontId="0" fillId="0" borderId="0" xfId="0" applyNumberFormat="1" applyAlignment="1">
      <alignment/>
    </xf>
    <xf numFmtId="182" fontId="0" fillId="0" borderId="0" xfId="42" applyNumberFormat="1" applyFont="1" applyAlignment="1">
      <alignment/>
    </xf>
    <xf numFmtId="182" fontId="0" fillId="0" borderId="0" xfId="42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9" fontId="43" fillId="0" borderId="11" xfId="0" applyNumberFormat="1" applyFont="1" applyBorder="1" applyAlignment="1">
      <alignment/>
    </xf>
    <xf numFmtId="9" fontId="43" fillId="0" borderId="12" xfId="0" applyNumberFormat="1" applyFont="1" applyBorder="1" applyAlignment="1">
      <alignment/>
    </xf>
    <xf numFmtId="3" fontId="43" fillId="0" borderId="13" xfId="0" applyNumberFormat="1" applyFont="1" applyBorder="1" applyAlignment="1">
      <alignment horizontal="right"/>
    </xf>
    <xf numFmtId="3" fontId="4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45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42" applyNumberFormat="1" applyFont="1" applyAlignment="1">
      <alignment/>
    </xf>
    <xf numFmtId="3" fontId="6" fillId="0" borderId="14" xfId="0" applyNumberFormat="1" applyFont="1" applyBorder="1" applyAlignment="1" applyProtection="1">
      <alignment horizontal="right"/>
      <protection locked="0"/>
    </xf>
    <xf numFmtId="3" fontId="43" fillId="0" borderId="16" xfId="0" applyNumberFormat="1" applyFont="1" applyBorder="1" applyAlignment="1">
      <alignment/>
    </xf>
    <xf numFmtId="185" fontId="43" fillId="0" borderId="10" xfId="0" applyNumberFormat="1" applyFont="1" applyBorder="1" applyAlignment="1">
      <alignment/>
    </xf>
    <xf numFmtId="3" fontId="45" fillId="0" borderId="0" xfId="0" applyNumberFormat="1" applyFont="1" applyAlignment="1">
      <alignment horizontal="center"/>
    </xf>
    <xf numFmtId="3" fontId="43" fillId="0" borderId="17" xfId="0" applyNumberFormat="1" applyFont="1" applyBorder="1" applyAlignment="1">
      <alignment horizontal="center"/>
    </xf>
    <xf numFmtId="3" fontId="43" fillId="0" borderId="18" xfId="0" applyNumberFormat="1" applyFont="1" applyBorder="1" applyAlignment="1">
      <alignment horizontal="center"/>
    </xf>
    <xf numFmtId="3" fontId="43" fillId="0" borderId="19" xfId="0" applyNumberFormat="1" applyFont="1" applyBorder="1" applyAlignment="1">
      <alignment horizontal="center"/>
    </xf>
    <xf numFmtId="3" fontId="43" fillId="0" borderId="13" xfId="0" applyNumberFormat="1" applyFont="1" applyBorder="1" applyAlignment="1">
      <alignment horizontal="center"/>
    </xf>
    <xf numFmtId="3" fontId="43" fillId="0" borderId="11" xfId="0" applyNumberFormat="1" applyFont="1" applyBorder="1" applyAlignment="1">
      <alignment/>
    </xf>
    <xf numFmtId="194" fontId="0" fillId="0" borderId="0" xfId="0" applyNumberFormat="1" applyAlignment="1">
      <alignment/>
    </xf>
    <xf numFmtId="3" fontId="45" fillId="0" borderId="0" xfId="0" applyNumberFormat="1" applyFont="1" applyAlignment="1">
      <alignment horizontal="center"/>
    </xf>
    <xf numFmtId="3" fontId="43" fillId="0" borderId="17" xfId="0" applyNumberFormat="1" applyFont="1" applyBorder="1" applyAlignment="1">
      <alignment horizontal="center"/>
    </xf>
    <xf numFmtId="3" fontId="43" fillId="0" borderId="18" xfId="0" applyNumberFormat="1" applyFont="1" applyBorder="1" applyAlignment="1">
      <alignment horizontal="center"/>
    </xf>
    <xf numFmtId="3" fontId="43" fillId="0" borderId="19" xfId="0" applyNumberFormat="1" applyFont="1" applyBorder="1" applyAlignment="1">
      <alignment horizontal="center"/>
    </xf>
    <xf numFmtId="4" fontId="43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45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6" fillId="0" borderId="0" xfId="0" applyNumberFormat="1" applyFont="1" applyAlignment="1" applyProtection="1">
      <alignment horizontal="right"/>
      <protection locked="0"/>
    </xf>
    <xf numFmtId="4" fontId="6" fillId="0" borderId="14" xfId="0" applyNumberFormat="1" applyFont="1" applyBorder="1" applyAlignment="1" applyProtection="1">
      <alignment horizontal="right"/>
      <protection locked="0"/>
    </xf>
    <xf numFmtId="3" fontId="45" fillId="0" borderId="0" xfId="0" applyNumberFormat="1" applyFont="1" applyAlignment="1">
      <alignment horizontal="center"/>
    </xf>
    <xf numFmtId="3" fontId="45" fillId="0" borderId="0" xfId="0" applyNumberFormat="1" applyFont="1" applyAlignment="1">
      <alignment horizontal="center"/>
    </xf>
    <xf numFmtId="3" fontId="45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186" fontId="0" fillId="0" borderId="0" xfId="0" applyNumberFormat="1" applyAlignment="1">
      <alignment/>
    </xf>
    <xf numFmtId="185" fontId="0" fillId="0" borderId="0" xfId="0" applyNumberFormat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43" fillId="0" borderId="17" xfId="0" applyNumberFormat="1" applyFont="1" applyBorder="1" applyAlignment="1">
      <alignment horizontal="center"/>
    </xf>
    <xf numFmtId="3" fontId="43" fillId="0" borderId="18" xfId="0" applyNumberFormat="1" applyFont="1" applyBorder="1" applyAlignment="1">
      <alignment horizontal="center"/>
    </xf>
    <xf numFmtId="3" fontId="43" fillId="0" borderId="19" xfId="0" applyNumberFormat="1" applyFont="1" applyBorder="1" applyAlignment="1">
      <alignment horizontal="center"/>
    </xf>
    <xf numFmtId="3" fontId="43" fillId="0" borderId="13" xfId="0" applyNumberFormat="1" applyFont="1" applyBorder="1" applyAlignment="1">
      <alignment horizontal="center"/>
    </xf>
    <xf numFmtId="3" fontId="43" fillId="0" borderId="16" xfId="0" applyNumberFormat="1" applyFont="1" applyBorder="1" applyAlignment="1">
      <alignment horizontal="center"/>
    </xf>
    <xf numFmtId="3" fontId="45" fillId="0" borderId="0" xfId="0" applyNumberFormat="1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43" fillId="0" borderId="20" xfId="0" applyNumberFormat="1" applyFont="1" applyBorder="1" applyAlignment="1">
      <alignment horizontal="center"/>
    </xf>
    <xf numFmtId="3" fontId="43" fillId="0" borderId="21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8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upskr&#225;%20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uðlar"/>
      <sheetName val="2008"/>
      <sheetName val="2009"/>
      <sheetName val="Nóv 2009"/>
      <sheetName val="júní 2010"/>
      <sheetName val="júní 2011"/>
      <sheetName val="1. febrúar 2012"/>
      <sheetName val="1. febrúar 2013"/>
      <sheetName val="1. janúar 2014"/>
    </sheetNames>
    <sheetDataSet>
      <sheetData sheetId="0">
        <row r="5">
          <cell r="A5">
            <v>1.15</v>
          </cell>
        </row>
        <row r="14">
          <cell r="A14">
            <v>0.33</v>
          </cell>
          <cell r="I14">
            <v>8000</v>
          </cell>
          <cell r="J14">
            <v>0.028</v>
          </cell>
          <cell r="K14">
            <v>1750</v>
          </cell>
        </row>
        <row r="15">
          <cell r="A15">
            <v>0.45</v>
          </cell>
        </row>
        <row r="16">
          <cell r="A16">
            <v>0.9</v>
          </cell>
        </row>
      </sheetData>
      <sheetData sheetId="7">
        <row r="6">
          <cell r="B6">
            <v>213017</v>
          </cell>
        </row>
        <row r="9">
          <cell r="B9">
            <v>237944</v>
          </cell>
        </row>
        <row r="10">
          <cell r="B10">
            <v>241584</v>
          </cell>
        </row>
        <row r="13">
          <cell r="B13">
            <v>250029</v>
          </cell>
        </row>
        <row r="18">
          <cell r="B18">
            <v>260604.13139999998</v>
          </cell>
        </row>
        <row r="19">
          <cell r="B19">
            <v>264648.5224</v>
          </cell>
        </row>
        <row r="20">
          <cell r="B20">
            <v>268794.155</v>
          </cell>
        </row>
        <row r="21">
          <cell r="B21">
            <v>273000</v>
          </cell>
        </row>
        <row r="22">
          <cell r="B22">
            <v>278271</v>
          </cell>
        </row>
        <row r="25">
          <cell r="B25">
            <v>297054</v>
          </cell>
        </row>
        <row r="61">
          <cell r="B61">
            <v>143372</v>
          </cell>
        </row>
        <row r="62">
          <cell r="B62">
            <v>153302</v>
          </cell>
        </row>
        <row r="63">
          <cell r="B63">
            <v>173162</v>
          </cell>
        </row>
        <row r="64">
          <cell r="B64">
            <v>183093</v>
          </cell>
        </row>
        <row r="69">
          <cell r="B69">
            <v>143372</v>
          </cell>
        </row>
        <row r="70">
          <cell r="B70">
            <v>153302</v>
          </cell>
        </row>
        <row r="71">
          <cell r="B71">
            <v>178128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zoomScalePageLayoutView="0" workbookViewId="0" topLeftCell="A4">
      <selection activeCell="I13" sqref="I13"/>
    </sheetView>
  </sheetViews>
  <sheetFormatPr defaultColWidth="8.8515625" defaultRowHeight="15"/>
  <cols>
    <col min="1" max="1" width="10.28125" style="0" customWidth="1"/>
    <col min="2" max="3" width="8.8515625" style="0" customWidth="1"/>
    <col min="4" max="4" width="11.28125" style="0" customWidth="1"/>
    <col min="5" max="5" width="10.421875" style="0" bestFit="1" customWidth="1"/>
    <col min="6" max="8" width="8.8515625" style="0" customWidth="1"/>
    <col min="9" max="10" width="13.421875" style="0" bestFit="1" customWidth="1"/>
  </cols>
  <sheetData>
    <row r="2" spans="1:9" ht="15">
      <c r="A2">
        <v>1.025</v>
      </c>
      <c r="B2" t="s">
        <v>0</v>
      </c>
      <c r="E2">
        <f>146020</f>
        <v>146020</v>
      </c>
      <c r="F2" t="s">
        <v>1</v>
      </c>
      <c r="H2">
        <v>2006</v>
      </c>
      <c r="I2">
        <v>1.03</v>
      </c>
    </row>
    <row r="3" spans="5:9" ht="15">
      <c r="E3">
        <v>149671</v>
      </c>
      <c r="H3">
        <v>2007</v>
      </c>
      <c r="I3">
        <f>1.029</f>
        <v>1.029</v>
      </c>
    </row>
    <row r="4" ht="15">
      <c r="E4">
        <v>153412</v>
      </c>
    </row>
    <row r="5" spans="1:10" ht="15">
      <c r="A5">
        <v>1.15</v>
      </c>
      <c r="B5" t="s">
        <v>2</v>
      </c>
      <c r="D5" t="s">
        <v>75</v>
      </c>
      <c r="E5">
        <v>188029</v>
      </c>
      <c r="F5">
        <v>2008</v>
      </c>
      <c r="H5" t="s">
        <v>3</v>
      </c>
      <c r="I5" s="3">
        <v>15000</v>
      </c>
      <c r="J5" t="s">
        <v>4</v>
      </c>
    </row>
    <row r="6" spans="4:9" ht="15">
      <c r="D6" t="s">
        <v>1</v>
      </c>
      <c r="E6" s="4">
        <v>177604.13139999998</v>
      </c>
      <c r="H6" s="1">
        <v>39479</v>
      </c>
      <c r="I6" s="3">
        <v>21000</v>
      </c>
    </row>
    <row r="7" spans="4:10" ht="15">
      <c r="D7" t="s">
        <v>29</v>
      </c>
      <c r="E7" s="4">
        <v>181648.5224</v>
      </c>
      <c r="H7" t="s">
        <v>3</v>
      </c>
      <c r="I7" s="3">
        <v>18661</v>
      </c>
      <c r="J7" t="s">
        <v>5</v>
      </c>
    </row>
    <row r="8" spans="1:10" ht="15">
      <c r="A8">
        <v>1.25</v>
      </c>
      <c r="B8" t="s">
        <v>6</v>
      </c>
      <c r="D8" t="s">
        <v>30</v>
      </c>
      <c r="E8" s="4">
        <v>185794.155</v>
      </c>
      <c r="H8" s="1">
        <v>39995</v>
      </c>
      <c r="I8" s="3">
        <v>8750</v>
      </c>
      <c r="J8" s="17">
        <v>6750</v>
      </c>
    </row>
    <row r="9" spans="4:10" ht="15">
      <c r="D9" t="s">
        <v>56</v>
      </c>
      <c r="E9" s="19">
        <v>209456.2152</v>
      </c>
      <c r="H9" s="1">
        <v>40118</v>
      </c>
      <c r="I9" s="3">
        <v>8750</v>
      </c>
      <c r="J9" s="17">
        <v>6750</v>
      </c>
    </row>
    <row r="10" spans="4:10" ht="15">
      <c r="D10" t="s">
        <v>51</v>
      </c>
      <c r="E10" s="4">
        <v>156897.263806</v>
      </c>
      <c r="H10" s="1">
        <v>40330</v>
      </c>
      <c r="I10" s="3">
        <v>10500</v>
      </c>
      <c r="J10" s="18">
        <v>6500</v>
      </c>
    </row>
    <row r="11" spans="1:9" ht="15">
      <c r="A11">
        <v>173.33</v>
      </c>
      <c r="B11" t="s">
        <v>7</v>
      </c>
      <c r="D11" t="s">
        <v>52</v>
      </c>
      <c r="E11" s="4">
        <v>178744</v>
      </c>
      <c r="H11" s="1">
        <v>40695</v>
      </c>
      <c r="I11" s="3">
        <v>12000</v>
      </c>
    </row>
    <row r="12" spans="4:9" ht="15">
      <c r="D12" t="s">
        <v>53</v>
      </c>
      <c r="E12" s="4">
        <v>182384</v>
      </c>
      <c r="H12" s="1">
        <v>40940</v>
      </c>
      <c r="I12" s="3">
        <v>11000</v>
      </c>
    </row>
    <row r="13" spans="1:9" ht="15">
      <c r="A13">
        <v>0.25</v>
      </c>
      <c r="B13" t="s">
        <v>8</v>
      </c>
      <c r="H13" s="1">
        <v>41306</v>
      </c>
      <c r="I13" s="3">
        <v>11000</v>
      </c>
    </row>
    <row r="14" spans="1:2" ht="15">
      <c r="A14">
        <v>0.33</v>
      </c>
      <c r="B14" t="s">
        <v>8</v>
      </c>
    </row>
    <row r="15" spans="1:2" ht="15">
      <c r="A15">
        <v>0.45</v>
      </c>
      <c r="B15" t="s">
        <v>8</v>
      </c>
    </row>
    <row r="16" spans="1:2" ht="15">
      <c r="A16">
        <v>0.9</v>
      </c>
      <c r="B16" t="s">
        <v>8</v>
      </c>
    </row>
    <row r="17" ht="15">
      <c r="H17">
        <f>141767*1.03*1.025</f>
        <v>149670.51025</v>
      </c>
    </row>
    <row r="19" spans="1:2" ht="15">
      <c r="A19">
        <v>0.010385</v>
      </c>
      <c r="B19" t="s">
        <v>9</v>
      </c>
    </row>
    <row r="20" spans="1:2" ht="15">
      <c r="A20">
        <v>0.01375</v>
      </c>
      <c r="B20" t="s">
        <v>10</v>
      </c>
    </row>
    <row r="21" spans="9:10" ht="15">
      <c r="I21" t="s">
        <v>11</v>
      </c>
      <c r="J21" t="s">
        <v>12</v>
      </c>
    </row>
    <row r="22" spans="1:10" ht="15">
      <c r="A22" t="s">
        <v>14</v>
      </c>
      <c r="B22">
        <v>2008</v>
      </c>
      <c r="C22">
        <v>24300</v>
      </c>
      <c r="D22" t="s">
        <v>15</v>
      </c>
      <c r="E22">
        <v>16400</v>
      </c>
      <c r="H22" t="s">
        <v>13</v>
      </c>
      <c r="I22">
        <v>38</v>
      </c>
      <c r="J22">
        <v>50</v>
      </c>
    </row>
    <row r="23" spans="2:10" ht="15">
      <c r="B23">
        <v>2009</v>
      </c>
      <c r="C23">
        <v>25000</v>
      </c>
      <c r="H23" t="s">
        <v>16</v>
      </c>
      <c r="I23">
        <v>50</v>
      </c>
      <c r="J23">
        <v>50</v>
      </c>
    </row>
    <row r="24" spans="2:10" ht="15">
      <c r="B24">
        <v>2010</v>
      </c>
      <c r="C24">
        <v>25400</v>
      </c>
      <c r="H24" t="s">
        <v>17</v>
      </c>
      <c r="I24">
        <v>60</v>
      </c>
      <c r="J24">
        <v>50</v>
      </c>
    </row>
    <row r="26" spans="1:5" ht="15">
      <c r="A26" t="s">
        <v>18</v>
      </c>
      <c r="B26">
        <v>2008</v>
      </c>
      <c r="C26">
        <v>44000</v>
      </c>
      <c r="D26" t="s">
        <v>15</v>
      </c>
      <c r="E26">
        <v>25000</v>
      </c>
    </row>
    <row r="27" spans="2:3" ht="15">
      <c r="B27">
        <v>2009</v>
      </c>
      <c r="C27">
        <v>45500</v>
      </c>
    </row>
    <row r="28" spans="2:12" ht="15">
      <c r="B28">
        <v>2010</v>
      </c>
      <c r="C28">
        <v>47000</v>
      </c>
      <c r="D28" s="13" t="s">
        <v>54</v>
      </c>
      <c r="E28" s="16">
        <v>39479</v>
      </c>
      <c r="K28" t="s">
        <v>60</v>
      </c>
      <c r="L28" t="s">
        <v>61</v>
      </c>
    </row>
    <row r="29" spans="4:12" ht="15">
      <c r="D29" s="14" t="s">
        <v>55</v>
      </c>
      <c r="E29" s="4">
        <v>89372</v>
      </c>
      <c r="G29" t="s">
        <v>62</v>
      </c>
      <c r="H29" t="s">
        <v>57</v>
      </c>
      <c r="I29" t="s">
        <v>58</v>
      </c>
      <c r="J29" t="s">
        <v>59</v>
      </c>
      <c r="K29" s="4">
        <v>1430.7450097499998</v>
      </c>
      <c r="L29" s="4">
        <v>6200.981408999999</v>
      </c>
    </row>
    <row r="30" spans="4:10" ht="15">
      <c r="D30" s="14" t="s">
        <v>41</v>
      </c>
      <c r="E30" s="4">
        <v>99302</v>
      </c>
      <c r="H30" s="4">
        <v>3825</v>
      </c>
      <c r="I30" s="4">
        <v>3825</v>
      </c>
      <c r="J30" s="4"/>
    </row>
    <row r="31" spans="4:12" ht="15">
      <c r="D31" s="14" t="s">
        <v>42</v>
      </c>
      <c r="E31" s="4">
        <v>119162</v>
      </c>
      <c r="K31" s="4">
        <f>K29*1.0245</f>
        <v>1465.7982624888748</v>
      </c>
      <c r="L31" s="4">
        <f>L29*1.0245</f>
        <v>6352.905453520499</v>
      </c>
    </row>
    <row r="32" spans="4:8" ht="15">
      <c r="D32" s="14" t="s">
        <v>43</v>
      </c>
      <c r="E32" s="4">
        <v>129093</v>
      </c>
      <c r="H32" s="4">
        <f>H30*1.0245</f>
        <v>3918.7125</v>
      </c>
    </row>
    <row r="34" spans="4:5" ht="15">
      <c r="D34" s="13" t="s">
        <v>54</v>
      </c>
      <c r="E34" s="16">
        <v>39479</v>
      </c>
    </row>
    <row r="35" spans="4:5" ht="15">
      <c r="D35" s="14" t="s">
        <v>55</v>
      </c>
      <c r="E35" s="15">
        <v>89372</v>
      </c>
    </row>
    <row r="36" spans="4:5" ht="15">
      <c r="D36" s="14" t="s">
        <v>41</v>
      </c>
      <c r="E36" s="15">
        <v>99302</v>
      </c>
    </row>
    <row r="37" spans="4:5" ht="15">
      <c r="D37" s="14" t="s">
        <v>42</v>
      </c>
      <c r="E37" s="15">
        <v>124128</v>
      </c>
    </row>
  </sheetData>
  <sheetProtection/>
  <printOptions/>
  <pageMargins left="0.75" right="0.75" top="1" bottom="1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50">
      <selection activeCell="P54" sqref="P54"/>
    </sheetView>
  </sheetViews>
  <sheetFormatPr defaultColWidth="8.8515625" defaultRowHeight="15"/>
  <cols>
    <col min="1" max="1" width="6.8515625" style="0" customWidth="1"/>
    <col min="2" max="2" width="7.28125" style="0" customWidth="1"/>
    <col min="3" max="3" width="6.421875" style="0" bestFit="1" customWidth="1"/>
    <col min="4" max="4" width="7.28125" style="0" customWidth="1"/>
    <col min="5" max="5" width="6.7109375" style="0" bestFit="1" customWidth="1"/>
    <col min="6" max="6" width="7.140625" style="0" customWidth="1"/>
    <col min="7" max="7" width="8.140625" style="0" bestFit="1" customWidth="1"/>
  </cols>
  <sheetData>
    <row r="1" spans="1:10" ht="15">
      <c r="A1" s="4" t="s">
        <v>98</v>
      </c>
      <c r="B1" s="4"/>
      <c r="C1" s="4"/>
      <c r="D1" s="4"/>
      <c r="E1" s="4"/>
      <c r="F1" s="4"/>
      <c r="G1" s="4"/>
      <c r="H1" s="4"/>
      <c r="I1" s="4"/>
      <c r="J1" s="4"/>
    </row>
    <row r="2" spans="1:10" ht="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4" t="s">
        <v>73</v>
      </c>
      <c r="B3" s="4"/>
      <c r="C3" s="4"/>
      <c r="D3" s="4"/>
      <c r="E3" s="4"/>
      <c r="F3" s="4"/>
      <c r="G3" s="4"/>
      <c r="H3" s="4"/>
      <c r="I3" s="4"/>
      <c r="J3" s="4"/>
    </row>
    <row r="4" spans="1:10" ht="15">
      <c r="A4" s="4"/>
      <c r="B4" s="4"/>
      <c r="C4" s="4" t="s">
        <v>20</v>
      </c>
      <c r="D4" s="4" t="s">
        <v>46</v>
      </c>
      <c r="G4" s="4" t="s">
        <v>21</v>
      </c>
      <c r="H4" s="4" t="s">
        <v>22</v>
      </c>
      <c r="I4" s="24" t="s">
        <v>45</v>
      </c>
      <c r="J4" s="24"/>
    </row>
    <row r="5" spans="1:10" ht="15">
      <c r="A5" s="4"/>
      <c r="B5" s="4" t="s">
        <v>23</v>
      </c>
      <c r="C5" s="51">
        <v>173.33</v>
      </c>
      <c r="D5" s="60">
        <v>0.33</v>
      </c>
      <c r="E5" s="60">
        <v>0.45</v>
      </c>
      <c r="F5" s="60">
        <v>0.9</v>
      </c>
      <c r="G5" s="61">
        <v>0.010385</v>
      </c>
      <c r="H5" s="62">
        <v>0.01375</v>
      </c>
      <c r="I5" s="24" t="s">
        <v>24</v>
      </c>
      <c r="J5" s="24" t="s">
        <v>25</v>
      </c>
    </row>
    <row r="6" spans="1:10" ht="15">
      <c r="A6" s="4" t="s">
        <v>48</v>
      </c>
      <c r="B6" s="4">
        <v>265752</v>
      </c>
      <c r="C6" s="4">
        <v>1533.214100271159</v>
      </c>
      <c r="D6" s="4">
        <v>505.9606530894825</v>
      </c>
      <c r="E6" s="4">
        <v>689.9463451220215</v>
      </c>
      <c r="F6" s="4">
        <v>1379.892690244043</v>
      </c>
      <c r="G6" s="4">
        <v>2759.83452</v>
      </c>
      <c r="H6" s="4">
        <v>3654.09</v>
      </c>
      <c r="I6" s="24">
        <v>350385.8605905752</v>
      </c>
      <c r="J6" s="24">
        <v>355951.4277745595</v>
      </c>
    </row>
    <row r="7" spans="1:10" ht="1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5">
      <c r="A8" s="4" t="s">
        <v>47</v>
      </c>
      <c r="B8" s="4"/>
      <c r="C8" s="4"/>
      <c r="D8" s="4"/>
      <c r="E8" s="4"/>
      <c r="F8" s="4"/>
      <c r="G8" s="4"/>
      <c r="H8" s="4"/>
      <c r="I8" s="24" t="s">
        <v>45</v>
      </c>
      <c r="J8" s="24"/>
    </row>
    <row r="9" spans="1:10" ht="15">
      <c r="A9" s="4" t="s">
        <v>1</v>
      </c>
      <c r="B9" s="4">
        <v>281384</v>
      </c>
      <c r="C9" s="4">
        <v>1623.400450008654</v>
      </c>
      <c r="D9" s="4">
        <v>535.7221485028558</v>
      </c>
      <c r="E9" s="4">
        <v>730.5302025038943</v>
      </c>
      <c r="F9" s="4">
        <v>1461.0604050077886</v>
      </c>
      <c r="G9" s="4">
        <v>2922.17284</v>
      </c>
      <c r="H9" s="4">
        <v>3869.03</v>
      </c>
      <c r="I9" s="24">
        <v>370996.1731103375</v>
      </c>
      <c r="J9" s="24">
        <v>376889.116743869</v>
      </c>
    </row>
    <row r="10" spans="1:10" ht="15">
      <c r="A10" s="4" t="s">
        <v>53</v>
      </c>
      <c r="B10" s="4">
        <v>287637</v>
      </c>
      <c r="C10" s="4">
        <v>1659.4761437719956</v>
      </c>
      <c r="D10" s="4">
        <v>547.6271274447586</v>
      </c>
      <c r="E10" s="4">
        <v>746.7642646973981</v>
      </c>
      <c r="F10" s="4">
        <v>1493.5285293947961</v>
      </c>
      <c r="G10" s="4">
        <v>2987.110245</v>
      </c>
      <c r="H10" s="4">
        <v>3955.00875</v>
      </c>
      <c r="I10" s="24">
        <v>379240.5618121078</v>
      </c>
      <c r="J10" s="24">
        <v>385264.4602140002</v>
      </c>
    </row>
    <row r="11" spans="1:10" ht="1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5">
      <c r="A12" s="4" t="s">
        <v>27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ht="15">
      <c r="A13" s="4"/>
      <c r="B13" s="4">
        <v>293029</v>
      </c>
      <c r="C13" s="4"/>
      <c r="D13" s="4"/>
      <c r="E13" s="4"/>
      <c r="F13" s="4"/>
      <c r="G13" s="4"/>
      <c r="H13" s="4"/>
      <c r="I13" s="4"/>
      <c r="J13" s="4"/>
    </row>
    <row r="14" spans="1:10" ht="1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5">
      <c r="A15" s="5" t="s">
        <v>28</v>
      </c>
      <c r="B15" s="5"/>
      <c r="C15" s="5"/>
      <c r="D15" s="5"/>
      <c r="E15" s="4"/>
      <c r="F15" s="4"/>
      <c r="G15" s="4"/>
      <c r="H15" s="4"/>
      <c r="I15" s="4"/>
      <c r="J15" s="4"/>
    </row>
    <row r="16" spans="1:10" ht="15">
      <c r="A16" s="4"/>
      <c r="B16" s="4"/>
      <c r="C16" s="4" t="s">
        <v>20</v>
      </c>
      <c r="D16" s="4" t="s">
        <v>46</v>
      </c>
      <c r="G16" s="4" t="s">
        <v>21</v>
      </c>
      <c r="H16" s="4" t="s">
        <v>22</v>
      </c>
      <c r="I16" s="4" t="s">
        <v>45</v>
      </c>
      <c r="J16" s="4"/>
    </row>
    <row r="17" spans="1:10" ht="15">
      <c r="A17" s="4"/>
      <c r="B17" s="4" t="s">
        <v>23</v>
      </c>
      <c r="C17" s="51">
        <v>173.33</v>
      </c>
      <c r="D17" s="60">
        <v>0.33</v>
      </c>
      <c r="E17" s="60">
        <v>0.45</v>
      </c>
      <c r="F17" s="60">
        <v>0.9</v>
      </c>
      <c r="G17" s="61">
        <v>0.010385</v>
      </c>
      <c r="H17" s="62">
        <v>0.01375</v>
      </c>
      <c r="I17" s="63" t="s">
        <v>24</v>
      </c>
      <c r="J17" s="64" t="s">
        <v>25</v>
      </c>
    </row>
    <row r="18" spans="1:10" ht="15">
      <c r="A18" s="4" t="s">
        <v>1</v>
      </c>
      <c r="B18" s="4">
        <v>312648.5224</v>
      </c>
      <c r="C18" s="4">
        <v>1803.7761633877574</v>
      </c>
      <c r="D18" s="4">
        <v>595.2461339179599</v>
      </c>
      <c r="E18" s="4">
        <v>811.6992735244909</v>
      </c>
      <c r="F18" s="4">
        <v>1623.3985470489818</v>
      </c>
      <c r="G18" s="4">
        <v>3246.854905124</v>
      </c>
      <c r="H18" s="4">
        <v>4298.9171830000005</v>
      </c>
      <c r="I18" s="24">
        <v>398526.8258381254</v>
      </c>
      <c r="J18" s="24">
        <v>405074.53331122303</v>
      </c>
    </row>
    <row r="19" spans="1:10" ht="15">
      <c r="A19" s="4" t="s">
        <v>53</v>
      </c>
      <c r="B19" s="4">
        <v>316794.155</v>
      </c>
      <c r="C19" s="4">
        <v>1827.6937344948942</v>
      </c>
      <c r="D19" s="4">
        <v>603.1389323833151</v>
      </c>
      <c r="E19" s="4">
        <v>822.4621805227024</v>
      </c>
      <c r="F19" s="4">
        <v>1644.9243610454048</v>
      </c>
      <c r="G19" s="4">
        <v>3289.9072996750006</v>
      </c>
      <c r="H19" s="4">
        <v>4355.919631250001</v>
      </c>
      <c r="I19" s="24">
        <v>403811.1808975597</v>
      </c>
      <c r="J19" s="24">
        <v>410445.7091537761</v>
      </c>
    </row>
    <row r="20" spans="1:10" ht="15">
      <c r="A20" s="4" t="s">
        <v>84</v>
      </c>
      <c r="B20" s="4">
        <v>321000</v>
      </c>
      <c r="C20" s="4">
        <v>1851.9586915132982</v>
      </c>
      <c r="D20" s="4">
        <v>611.1463681993885</v>
      </c>
      <c r="E20" s="4">
        <v>833.3814111809842</v>
      </c>
      <c r="F20" s="4">
        <v>1666.7628223619683</v>
      </c>
      <c r="G20" s="4">
        <v>3333.585</v>
      </c>
      <c r="H20" s="4">
        <v>4413.75</v>
      </c>
      <c r="I20" s="24">
        <v>409172.2875004327</v>
      </c>
      <c r="J20" s="24">
        <v>415894.89755062596</v>
      </c>
    </row>
    <row r="21" spans="1:10" ht="15">
      <c r="A21" s="4" t="s">
        <v>83</v>
      </c>
      <c r="B21" s="4">
        <v>331271</v>
      </c>
      <c r="C21" s="4">
        <v>1911.2156003000057</v>
      </c>
      <c r="D21" s="4">
        <v>630.7011480990019</v>
      </c>
      <c r="E21" s="4">
        <v>860.0470201350025</v>
      </c>
      <c r="F21" s="4">
        <v>1720.094040270005</v>
      </c>
      <c r="G21" s="4">
        <v>3440.249335</v>
      </c>
      <c r="H21" s="4">
        <v>4554.97625</v>
      </c>
      <c r="I21" s="24">
        <v>422264.5260204232</v>
      </c>
      <c r="J21" s="24">
        <v>429202.23864951223</v>
      </c>
    </row>
    <row r="22" spans="1:10" ht="1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5">
      <c r="A23" s="5" t="s">
        <v>99</v>
      </c>
      <c r="B23" s="5"/>
      <c r="C23" s="5"/>
      <c r="D23" s="5"/>
      <c r="E23" s="5"/>
      <c r="F23" s="5"/>
      <c r="G23" s="5"/>
      <c r="H23" s="5"/>
      <c r="I23" s="5"/>
      <c r="J23" s="4"/>
    </row>
    <row r="24" spans="1:10" ht="15">
      <c r="A24" s="4" t="s">
        <v>100</v>
      </c>
      <c r="B24" s="4">
        <v>353367</v>
      </c>
      <c r="C24" s="4">
        <v>2038.6949749033633</v>
      </c>
      <c r="D24" s="4">
        <v>672.7693417181099</v>
      </c>
      <c r="E24" s="4">
        <v>917.4127387065136</v>
      </c>
      <c r="F24" s="4">
        <v>1834.825477413027</v>
      </c>
      <c r="G24" s="4">
        <v>3669.716295</v>
      </c>
      <c r="H24" s="4">
        <v>4858.79625</v>
      </c>
      <c r="I24" s="24">
        <v>465903.55067623116</v>
      </c>
      <c r="J24" s="24">
        <v>473304.01343513036</v>
      </c>
    </row>
    <row r="25" spans="2:10" ht="15">
      <c r="B25" s="4"/>
      <c r="C25" s="4"/>
      <c r="D25" s="4"/>
      <c r="E25" s="4"/>
      <c r="F25" s="4"/>
      <c r="G25" s="4"/>
      <c r="H25" s="4"/>
      <c r="I25" s="4"/>
      <c r="J25" s="4"/>
    </row>
    <row r="26" spans="1:10" ht="15">
      <c r="A26" s="4" t="s">
        <v>32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5">
      <c r="A27" s="4" t="s">
        <v>78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5">
      <c r="A28" s="4" t="s">
        <v>81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15">
      <c r="A29" s="4" t="s">
        <v>79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ht="15">
      <c r="A30" s="4" t="s">
        <v>80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5">
      <c r="A32" s="5" t="s">
        <v>28</v>
      </c>
      <c r="B32" s="5"/>
      <c r="C32" s="5"/>
      <c r="D32" s="5"/>
      <c r="E32" s="4"/>
      <c r="F32" s="4"/>
      <c r="G32" s="4"/>
      <c r="H32" s="4"/>
      <c r="I32" s="4"/>
      <c r="J32" s="4"/>
    </row>
    <row r="33" spans="1:10" ht="15">
      <c r="A33" s="4"/>
      <c r="B33" s="4"/>
      <c r="C33" s="4" t="s">
        <v>20</v>
      </c>
      <c r="D33" s="4" t="s">
        <v>46</v>
      </c>
      <c r="G33" s="4" t="s">
        <v>21</v>
      </c>
      <c r="H33" s="4" t="s">
        <v>22</v>
      </c>
      <c r="I33" s="24" t="s">
        <v>45</v>
      </c>
      <c r="J33" s="24"/>
    </row>
    <row r="34" spans="1:10" ht="15">
      <c r="A34" s="4"/>
      <c r="B34" s="4" t="s">
        <v>23</v>
      </c>
      <c r="C34" s="51">
        <v>173.33</v>
      </c>
      <c r="D34" s="60">
        <v>0.33</v>
      </c>
      <c r="E34" s="60">
        <v>0.45</v>
      </c>
      <c r="F34" s="60">
        <v>0.9</v>
      </c>
      <c r="G34" s="61">
        <v>0.010385</v>
      </c>
      <c r="H34" s="62">
        <v>0.01375</v>
      </c>
      <c r="I34" s="24" t="s">
        <v>24</v>
      </c>
      <c r="J34" s="24" t="s">
        <v>25</v>
      </c>
    </row>
    <row r="35" spans="1:10" ht="15">
      <c r="A35" s="4" t="s">
        <v>1</v>
      </c>
      <c r="B35" s="4">
        <v>359545.80076</v>
      </c>
      <c r="C35" s="4">
        <v>2074.342587895921</v>
      </c>
      <c r="D35" s="4">
        <v>684.533054005654</v>
      </c>
      <c r="E35" s="4">
        <v>933.4541645531644</v>
      </c>
      <c r="F35" s="4">
        <v>1866.908329106329</v>
      </c>
      <c r="G35" s="4">
        <v>3733.8831408926003</v>
      </c>
      <c r="H35" s="4">
        <v>4943.7547604500005</v>
      </c>
      <c r="I35" s="24">
        <v>458305.8497138443</v>
      </c>
      <c r="J35" s="24">
        <v>465835.71330790647</v>
      </c>
    </row>
    <row r="36" spans="1:10" ht="15">
      <c r="A36" s="4" t="s">
        <v>53</v>
      </c>
      <c r="B36" s="4">
        <v>364313.27825000003</v>
      </c>
      <c r="C36" s="4">
        <v>2101.8477946691282</v>
      </c>
      <c r="D36" s="4">
        <v>693.6097722408124</v>
      </c>
      <c r="E36" s="4">
        <v>945.8315076011078</v>
      </c>
      <c r="F36" s="4">
        <v>1891.6630152022155</v>
      </c>
      <c r="G36" s="4">
        <v>3783.3933946262505</v>
      </c>
      <c r="H36" s="4">
        <v>5009.307575937501</v>
      </c>
      <c r="I36" s="24">
        <v>464382.8580321936</v>
      </c>
      <c r="J36" s="24">
        <v>472012.56552684255</v>
      </c>
    </row>
    <row r="37" spans="1:10" ht="15">
      <c r="A37" s="4" t="s">
        <v>84</v>
      </c>
      <c r="B37" s="4">
        <v>369150</v>
      </c>
      <c r="C37" s="4">
        <v>2129.752495240293</v>
      </c>
      <c r="D37" s="4">
        <v>702.8183234292967</v>
      </c>
      <c r="E37" s="4">
        <v>958.3886228581317</v>
      </c>
      <c r="F37" s="4">
        <v>1916.7772457162635</v>
      </c>
      <c r="G37" s="4">
        <v>3833.62275</v>
      </c>
      <c r="H37" s="4">
        <v>5075.8125</v>
      </c>
      <c r="I37" s="24">
        <v>470548.1306254976</v>
      </c>
      <c r="J37" s="24">
        <v>478279.1321832199</v>
      </c>
    </row>
    <row r="38" spans="1:10" ht="15">
      <c r="A38" s="4" t="s">
        <v>83</v>
      </c>
      <c r="B38" s="4">
        <v>380961.64999999997</v>
      </c>
      <c r="C38" s="4">
        <v>2197.897940345006</v>
      </c>
      <c r="D38" s="4">
        <v>725.3063203138521</v>
      </c>
      <c r="E38" s="4">
        <v>989.0540731552528</v>
      </c>
      <c r="F38" s="4">
        <v>1978.1081463105056</v>
      </c>
      <c r="G38" s="4">
        <v>3956.2867352499998</v>
      </c>
      <c r="H38" s="4">
        <v>5238.2226875</v>
      </c>
      <c r="I38" s="24">
        <v>485604.2049234866</v>
      </c>
      <c r="J38" s="24">
        <v>493582.574446939</v>
      </c>
    </row>
    <row r="39" spans="1:10" ht="1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5">
      <c r="A40" s="5" t="s">
        <v>99</v>
      </c>
      <c r="B40" s="5"/>
      <c r="C40" s="5"/>
      <c r="D40" s="5"/>
      <c r="E40" s="5"/>
      <c r="F40" s="5"/>
      <c r="G40" s="5"/>
      <c r="H40" s="5"/>
      <c r="I40" s="5"/>
      <c r="J40" s="4"/>
    </row>
    <row r="41" spans="1:10" ht="15">
      <c r="A41" s="4"/>
      <c r="B41" s="4">
        <v>406372.05</v>
      </c>
      <c r="C41" s="4">
        <v>2344.4992211388676</v>
      </c>
      <c r="D41" s="4">
        <v>773.6847429758263</v>
      </c>
      <c r="E41" s="4">
        <v>1055.0246495124904</v>
      </c>
      <c r="F41" s="4">
        <v>2110.049299024981</v>
      </c>
      <c r="G41" s="4">
        <v>4220.17373925</v>
      </c>
      <c r="H41" s="4">
        <v>5587.6156875</v>
      </c>
      <c r="I41" s="24">
        <v>535789.0832776659</v>
      </c>
      <c r="J41" s="24">
        <v>544299.6154503999</v>
      </c>
    </row>
    <row r="42" spans="1:10" ht="1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4:10" ht="15">
      <c r="D43" t="s">
        <v>57</v>
      </c>
      <c r="E43" t="s">
        <v>58</v>
      </c>
      <c r="F43" t="s">
        <v>59</v>
      </c>
      <c r="G43" t="s">
        <v>60</v>
      </c>
      <c r="H43" t="s">
        <v>61</v>
      </c>
      <c r="I43" s="4"/>
      <c r="J43" s="4"/>
    </row>
    <row r="44" spans="1:10" ht="15">
      <c r="A44" t="s">
        <v>62</v>
      </c>
      <c r="D44" s="4">
        <v>6027</v>
      </c>
      <c r="E44" s="4">
        <v>6027</v>
      </c>
      <c r="F44" s="4"/>
      <c r="G44" s="4"/>
      <c r="H44" s="4">
        <v>6027</v>
      </c>
      <c r="I44" s="4"/>
      <c r="J44" s="4"/>
    </row>
    <row r="45" spans="1:10" ht="15">
      <c r="A45" s="4" t="s">
        <v>68</v>
      </c>
      <c r="B45" s="4"/>
      <c r="C45" s="53">
        <v>2015</v>
      </c>
      <c r="D45" s="4">
        <v>42000</v>
      </c>
      <c r="E45" s="4"/>
      <c r="F45" s="4"/>
      <c r="G45" s="4"/>
      <c r="H45" s="4"/>
      <c r="I45" s="4"/>
      <c r="J45" s="4"/>
    </row>
    <row r="46" spans="1:10" ht="15">
      <c r="A46" s="4" t="s">
        <v>64</v>
      </c>
      <c r="B46" s="4"/>
      <c r="C46" s="53">
        <v>2015</v>
      </c>
      <c r="D46" s="4">
        <v>78000</v>
      </c>
      <c r="E46" s="4"/>
      <c r="F46" s="4"/>
      <c r="G46" s="4"/>
      <c r="H46" s="4"/>
      <c r="I46" s="4"/>
      <c r="J46" s="4"/>
    </row>
    <row r="47" spans="1:10" ht="1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5">
      <c r="A54" s="5" t="s">
        <v>101</v>
      </c>
      <c r="B54" s="5"/>
      <c r="C54" s="5"/>
      <c r="D54" s="5"/>
      <c r="E54" s="4"/>
      <c r="F54" s="4"/>
      <c r="G54" s="4"/>
      <c r="H54" s="4"/>
      <c r="I54" s="4"/>
      <c r="J54" s="4"/>
    </row>
    <row r="55" spans="1:10" ht="1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5">
      <c r="A56" s="4" t="s">
        <v>39</v>
      </c>
      <c r="B56" s="4"/>
      <c r="C56" s="4"/>
      <c r="D56" s="4"/>
      <c r="E56" s="4"/>
      <c r="F56" s="4"/>
      <c r="G56" s="4"/>
      <c r="H56" s="4"/>
      <c r="I56" s="4"/>
      <c r="J56" s="4"/>
    </row>
    <row r="57" spans="1:10" ht="15">
      <c r="A57" s="4"/>
      <c r="B57" s="4"/>
      <c r="C57" s="4" t="s">
        <v>20</v>
      </c>
      <c r="D57" s="4" t="s">
        <v>46</v>
      </c>
      <c r="E57" s="4"/>
      <c r="F57" s="4"/>
      <c r="G57" s="4" t="s">
        <v>21</v>
      </c>
      <c r="H57" s="24" t="s">
        <v>45</v>
      </c>
      <c r="I57" s="24"/>
      <c r="J57" s="4" t="s">
        <v>88</v>
      </c>
    </row>
    <row r="58" spans="1:10" ht="15">
      <c r="A58" s="4"/>
      <c r="B58" s="4" t="s">
        <v>37</v>
      </c>
      <c r="C58" s="51">
        <v>173.33</v>
      </c>
      <c r="D58" s="60">
        <v>0.33</v>
      </c>
      <c r="E58" s="60">
        <v>0.45</v>
      </c>
      <c r="F58" s="60">
        <v>0.9</v>
      </c>
      <c r="G58" s="61">
        <v>0.010385</v>
      </c>
      <c r="H58" s="24" t="s">
        <v>24</v>
      </c>
      <c r="I58" s="24" t="s">
        <v>25</v>
      </c>
      <c r="J58" s="4" t="s">
        <v>89</v>
      </c>
    </row>
    <row r="59" spans="1:10" ht="15">
      <c r="A59" s="4" t="s">
        <v>40</v>
      </c>
      <c r="B59" s="4">
        <v>178122</v>
      </c>
      <c r="C59" s="4">
        <v>1027.6466855131828</v>
      </c>
      <c r="D59" s="4">
        <v>339.12340621935033</v>
      </c>
      <c r="E59" s="4">
        <v>462.4410084809323</v>
      </c>
      <c r="F59" s="4">
        <f>C59*F58</f>
        <v>924.8820169618646</v>
      </c>
      <c r="G59" s="4">
        <f>B60*G58</f>
        <v>1952.92002</v>
      </c>
      <c r="H59" s="24">
        <v>233439.92073501414</v>
      </c>
      <c r="I59" s="24">
        <v>237170.278203427</v>
      </c>
      <c r="J59" s="51">
        <v>2102.15</v>
      </c>
    </row>
    <row r="60" spans="1:10" ht="15">
      <c r="A60" s="4" t="s">
        <v>41</v>
      </c>
      <c r="B60" s="4">
        <v>188052</v>
      </c>
      <c r="C60" s="4">
        <v>1084.9362487740148</v>
      </c>
      <c r="D60" s="4">
        <v>358.0289620954249</v>
      </c>
      <c r="E60" s="4">
        <v>488.22131194830666</v>
      </c>
      <c r="F60" s="4">
        <f>C60*F58</f>
        <v>976.4426238966133</v>
      </c>
      <c r="G60" s="4">
        <v>1953</v>
      </c>
      <c r="H60" s="24">
        <v>245604.2137021866</v>
      </c>
      <c r="I60" s="24">
        <v>249542.5322852363</v>
      </c>
      <c r="J60" s="51">
        <v>2198.26</v>
      </c>
    </row>
    <row r="61" spans="1:10" ht="15">
      <c r="A61" s="4" t="s">
        <v>42</v>
      </c>
      <c r="B61" s="4">
        <v>207912</v>
      </c>
      <c r="C61" s="4">
        <v>1199.5153752956787</v>
      </c>
      <c r="D61" s="4">
        <v>395.840073847574</v>
      </c>
      <c r="E61" s="4">
        <v>539.7819188830555</v>
      </c>
      <c r="F61" s="4">
        <f>C61*F58</f>
        <v>1079.563837766111</v>
      </c>
      <c r="G61" s="4">
        <f>B61*G58</f>
        <v>2159.16612</v>
      </c>
      <c r="H61" s="24">
        <v>271788.9596365315</v>
      </c>
      <c r="I61" s="24">
        <v>276143.20044885477</v>
      </c>
      <c r="J61" s="51">
        <v>2491.76</v>
      </c>
    </row>
    <row r="62" spans="1:10" ht="15">
      <c r="A62" s="4" t="s">
        <v>43</v>
      </c>
      <c r="B62" s="4">
        <v>217843</v>
      </c>
      <c r="C62" s="4">
        <v>1256.8107078982287</v>
      </c>
      <c r="D62" s="4">
        <v>414.74753360641546</v>
      </c>
      <c r="E62" s="4">
        <v>565.5648185542029</v>
      </c>
      <c r="F62" s="4">
        <f>C62*F58</f>
        <v>1131.1296371084059</v>
      </c>
      <c r="G62" s="4">
        <v>2262</v>
      </c>
      <c r="H62" s="24">
        <v>284882.64760803094</v>
      </c>
      <c r="I62" s="24">
        <v>289444.87047770154</v>
      </c>
      <c r="J62" s="51">
        <v>2510.96</v>
      </c>
    </row>
    <row r="63" spans="1:10" ht="1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5">
      <c r="A64" s="4" t="s">
        <v>44</v>
      </c>
      <c r="B64" s="4"/>
      <c r="C64" s="4"/>
      <c r="D64" s="4"/>
      <c r="E64" s="4"/>
      <c r="F64" s="4"/>
      <c r="G64" s="4"/>
      <c r="H64" s="4"/>
      <c r="I64" s="4"/>
      <c r="J64" s="4"/>
    </row>
    <row r="65" spans="1:10" ht="15">
      <c r="A65" s="4"/>
      <c r="B65" s="4"/>
      <c r="C65" s="4" t="s">
        <v>20</v>
      </c>
      <c r="D65" s="4" t="s">
        <v>46</v>
      </c>
      <c r="E65" s="4"/>
      <c r="F65" s="4"/>
      <c r="G65" s="4" t="s">
        <v>21</v>
      </c>
      <c r="H65" s="24" t="s">
        <v>45</v>
      </c>
      <c r="I65" s="24"/>
      <c r="J65" s="4" t="s">
        <v>88</v>
      </c>
    </row>
    <row r="66" spans="1:10" ht="15">
      <c r="A66" s="4"/>
      <c r="B66" s="4" t="s">
        <v>37</v>
      </c>
      <c r="C66" s="51">
        <v>173.33</v>
      </c>
      <c r="D66" s="60">
        <v>0.33</v>
      </c>
      <c r="E66" s="60">
        <v>0.45</v>
      </c>
      <c r="F66" s="60">
        <v>0.9</v>
      </c>
      <c r="G66" s="61">
        <v>0.010385</v>
      </c>
      <c r="H66" s="24" t="s">
        <v>24</v>
      </c>
      <c r="I66" s="24" t="s">
        <v>25</v>
      </c>
      <c r="J66" s="4" t="s">
        <v>89</v>
      </c>
    </row>
    <row r="67" spans="1:10" ht="15">
      <c r="A67" s="4" t="s">
        <v>55</v>
      </c>
      <c r="B67" s="4">
        <v>178122</v>
      </c>
      <c r="C67" s="4">
        <v>1027.6466855131828</v>
      </c>
      <c r="D67" s="4">
        <v>339.12340621935033</v>
      </c>
      <c r="E67" s="4">
        <v>462.4410084809323</v>
      </c>
      <c r="F67" s="51">
        <f>C67*F66</f>
        <v>924.8820169618646</v>
      </c>
      <c r="G67" s="4">
        <v>1953</v>
      </c>
      <c r="H67" s="24">
        <v>233439.92073501414</v>
      </c>
      <c r="I67" s="24">
        <v>237170.278203427</v>
      </c>
      <c r="J67" s="51">
        <v>2102.15</v>
      </c>
    </row>
    <row r="68" spans="1:10" ht="15">
      <c r="A68" s="4" t="s">
        <v>41</v>
      </c>
      <c r="B68" s="4">
        <v>188052</v>
      </c>
      <c r="C68" s="4">
        <v>1084.9362487740148</v>
      </c>
      <c r="D68" s="4">
        <v>358.0289620954249</v>
      </c>
      <c r="E68" s="4">
        <v>488.22131194830666</v>
      </c>
      <c r="F68" s="51">
        <f>C68*F66</f>
        <v>976.4426238966133</v>
      </c>
      <c r="G68" s="4">
        <f>B68*G66</f>
        <v>1952.92002</v>
      </c>
      <c r="H68" s="24">
        <v>245604.2137021866</v>
      </c>
      <c r="I68" s="24">
        <v>249542.5322852363</v>
      </c>
      <c r="J68" s="51">
        <v>2443.59</v>
      </c>
    </row>
    <row r="69" spans="1:10" ht="15">
      <c r="A69" s="4" t="s">
        <v>42</v>
      </c>
      <c r="B69" s="4">
        <v>212878</v>
      </c>
      <c r="C69" s="4">
        <v>1228.1659262678127</v>
      </c>
      <c r="D69" s="4">
        <v>405.2947556683782</v>
      </c>
      <c r="E69" s="4">
        <v>552.6746668205158</v>
      </c>
      <c r="F69" s="51">
        <f>C69*F66</f>
        <v>1105.3493336410315</v>
      </c>
      <c r="G69" s="4">
        <f>B69*G66</f>
        <v>2210.73803</v>
      </c>
      <c r="H69" s="24">
        <v>278336.46112444473</v>
      </c>
      <c r="I69" s="24">
        <v>282794.70343679684</v>
      </c>
      <c r="J69" s="51">
        <v>2501.14</v>
      </c>
    </row>
    <row r="70" spans="1:10" ht="1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5">
      <c r="A71" s="4"/>
      <c r="B71" s="4"/>
      <c r="C71" s="4"/>
      <c r="D71" s="4" t="s">
        <v>57</v>
      </c>
      <c r="E71" s="4" t="s">
        <v>58</v>
      </c>
      <c r="F71" s="4" t="s">
        <v>97</v>
      </c>
      <c r="G71" s="4"/>
      <c r="H71" s="4" t="s">
        <v>61</v>
      </c>
      <c r="I71" s="4"/>
      <c r="J71" s="4"/>
    </row>
    <row r="72" spans="1:10" ht="15">
      <c r="A72" s="4" t="s">
        <v>62</v>
      </c>
      <c r="B72" s="4"/>
      <c r="C72" s="4"/>
      <c r="D72" s="4">
        <v>6027</v>
      </c>
      <c r="E72" s="4">
        <v>6027</v>
      </c>
      <c r="F72" s="4">
        <v>1942</v>
      </c>
      <c r="G72" s="4"/>
      <c r="H72" s="4">
        <v>6027</v>
      </c>
      <c r="I72" s="4"/>
      <c r="J72" s="4"/>
    </row>
    <row r="73" spans="1:10" ht="15">
      <c r="A73" s="4" t="s">
        <v>63</v>
      </c>
      <c r="B73" s="4"/>
      <c r="C73" s="4"/>
      <c r="D73" s="53">
        <v>2015</v>
      </c>
      <c r="E73" s="4">
        <v>42000</v>
      </c>
      <c r="F73" s="4"/>
      <c r="G73" s="4"/>
      <c r="H73" s="4"/>
      <c r="I73" s="4"/>
      <c r="J73" s="4"/>
    </row>
    <row r="74" spans="1:10" ht="15">
      <c r="A74" s="4" t="s">
        <v>64</v>
      </c>
      <c r="B74" s="4"/>
      <c r="C74" s="4"/>
      <c r="D74" s="53">
        <v>2015</v>
      </c>
      <c r="E74" s="4">
        <v>78000</v>
      </c>
      <c r="F74" s="4"/>
      <c r="G74" s="4"/>
      <c r="H74" s="4"/>
      <c r="I74" s="4"/>
      <c r="J74" s="4"/>
    </row>
    <row r="75" spans="1:10" ht="15">
      <c r="A75" s="4" t="s">
        <v>65</v>
      </c>
      <c r="B75" s="4"/>
      <c r="C75" s="4"/>
      <c r="D75" s="4"/>
      <c r="E75" s="4"/>
      <c r="F75" s="4"/>
      <c r="G75" s="4"/>
      <c r="H75" s="4"/>
      <c r="I75" s="4"/>
      <c r="J75" s="4"/>
    </row>
  </sheetData>
  <sheetProtection/>
  <printOptions/>
  <pageMargins left="0.75" right="0.75" top="1" bottom="1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selection activeCell="M9" sqref="M9"/>
    </sheetView>
  </sheetViews>
  <sheetFormatPr defaultColWidth="9.140625" defaultRowHeight="15"/>
  <sheetData>
    <row r="1" spans="1:10" ht="23.25">
      <c r="A1" s="76" t="s">
        <v>102</v>
      </c>
      <c r="B1" s="76"/>
      <c r="C1" s="76"/>
      <c r="D1" s="76"/>
      <c r="E1" s="76"/>
      <c r="F1" s="76"/>
      <c r="G1" s="76"/>
      <c r="H1" s="76"/>
      <c r="I1" s="4"/>
      <c r="J1" s="4"/>
    </row>
    <row r="2" spans="1:10" ht="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77" t="s">
        <v>73</v>
      </c>
      <c r="B3" s="77"/>
      <c r="C3" s="77"/>
      <c r="D3" s="77"/>
      <c r="E3" s="4"/>
      <c r="F3" s="4"/>
      <c r="G3" s="4"/>
      <c r="H3" s="4"/>
      <c r="I3" s="4"/>
      <c r="J3" s="4"/>
    </row>
    <row r="4" spans="1:10" ht="15">
      <c r="A4" s="78"/>
      <c r="B4" s="78"/>
      <c r="C4" s="79" t="s">
        <v>20</v>
      </c>
      <c r="D4" s="80" t="s">
        <v>46</v>
      </c>
      <c r="E4" s="81"/>
      <c r="F4" s="81"/>
      <c r="G4" s="79" t="s">
        <v>21</v>
      </c>
      <c r="H4" s="79" t="s">
        <v>22</v>
      </c>
      <c r="I4" s="80" t="s">
        <v>45</v>
      </c>
      <c r="J4" s="80"/>
    </row>
    <row r="5" spans="1:10" ht="15">
      <c r="A5" s="78"/>
      <c r="B5" s="78" t="s">
        <v>103</v>
      </c>
      <c r="C5" s="82">
        <v>173.33</v>
      </c>
      <c r="D5" s="83">
        <v>0.33</v>
      </c>
      <c r="E5" s="83">
        <v>0.45</v>
      </c>
      <c r="F5" s="83">
        <v>0.9</v>
      </c>
      <c r="G5" s="84">
        <v>0.010385</v>
      </c>
      <c r="H5" s="85">
        <v>0.01375</v>
      </c>
      <c r="I5" s="79" t="s">
        <v>24</v>
      </c>
      <c r="J5" s="79" t="s">
        <v>25</v>
      </c>
    </row>
    <row r="6" spans="1:10" ht="15">
      <c r="A6" s="25" t="s">
        <v>48</v>
      </c>
      <c r="B6" s="25">
        <v>282228</v>
      </c>
      <c r="C6" s="25">
        <v>1628.27</v>
      </c>
      <c r="D6" s="25">
        <v>537.33</v>
      </c>
      <c r="E6" s="25">
        <v>732.72</v>
      </c>
      <c r="F6" s="25">
        <v>1465.44</v>
      </c>
      <c r="G6" s="25">
        <v>2930.94</v>
      </c>
      <c r="H6" s="25">
        <v>3880.64</v>
      </c>
      <c r="I6" s="25">
        <v>372109</v>
      </c>
      <c r="J6" s="25">
        <v>378020</v>
      </c>
    </row>
    <row r="7" spans="1:10" ht="15">
      <c r="A7" s="4"/>
      <c r="B7" s="4"/>
      <c r="C7" s="4"/>
      <c r="D7" s="4"/>
      <c r="E7" s="4"/>
      <c r="F7" s="4"/>
      <c r="G7" s="4"/>
      <c r="H7" s="25"/>
      <c r="I7" s="25"/>
      <c r="J7" s="25"/>
    </row>
    <row r="8" spans="1:10" ht="15">
      <c r="A8" s="78" t="s">
        <v>47</v>
      </c>
      <c r="B8" s="78"/>
      <c r="C8" s="78"/>
      <c r="D8" s="78"/>
      <c r="E8" s="78"/>
      <c r="F8" s="78"/>
      <c r="G8" s="78"/>
      <c r="H8" s="78"/>
      <c r="I8" s="80" t="s">
        <v>45</v>
      </c>
      <c r="J8" s="80"/>
    </row>
    <row r="9" spans="1:10" ht="15">
      <c r="A9" s="25" t="s">
        <v>1</v>
      </c>
      <c r="B9" s="25">
        <v>300490</v>
      </c>
      <c r="C9" s="25">
        <v>1733.63</v>
      </c>
      <c r="D9" s="25">
        <v>572.1</v>
      </c>
      <c r="E9" s="25">
        <v>780.13</v>
      </c>
      <c r="F9" s="25">
        <v>1560.26</v>
      </c>
      <c r="G9" s="25">
        <v>3120.58</v>
      </c>
      <c r="H9" s="25">
        <v>4131.73</v>
      </c>
      <c r="I9" s="25">
        <v>396186</v>
      </c>
      <c r="J9" s="25">
        <v>402480</v>
      </c>
    </row>
    <row r="10" spans="1:10" ht="15">
      <c r="A10" s="25" t="s">
        <v>53</v>
      </c>
      <c r="B10" s="25">
        <v>306798</v>
      </c>
      <c r="C10" s="25">
        <v>1770.02</v>
      </c>
      <c r="D10" s="25">
        <v>584.11</v>
      </c>
      <c r="E10" s="25">
        <v>796.51</v>
      </c>
      <c r="F10" s="25">
        <v>1593.02</v>
      </c>
      <c r="G10" s="25">
        <v>3186.1</v>
      </c>
      <c r="H10" s="25">
        <v>4218.48</v>
      </c>
      <c r="I10" s="25">
        <v>404504</v>
      </c>
      <c r="J10" s="25">
        <v>410929</v>
      </c>
    </row>
    <row r="11" spans="1:10" ht="15">
      <c r="A11" s="4"/>
      <c r="B11" s="4"/>
      <c r="C11" s="4"/>
      <c r="D11" s="4"/>
      <c r="E11" s="4"/>
      <c r="F11" s="4"/>
      <c r="G11" s="4"/>
      <c r="H11" s="4"/>
      <c r="I11" s="25"/>
      <c r="J11" s="25"/>
    </row>
    <row r="12" spans="1:10" ht="15">
      <c r="A12" s="77" t="s">
        <v>27</v>
      </c>
      <c r="B12" s="77"/>
      <c r="C12" s="77"/>
      <c r="D12" s="77"/>
      <c r="E12" s="77"/>
      <c r="F12" s="77"/>
      <c r="G12" s="77"/>
      <c r="H12" s="77"/>
      <c r="I12" s="78"/>
      <c r="J12" s="78"/>
    </row>
    <row r="13" spans="1:10" ht="15.75" thickBot="1">
      <c r="A13" s="29"/>
      <c r="B13" s="29">
        <v>311197</v>
      </c>
      <c r="C13" s="29"/>
      <c r="D13" s="29"/>
      <c r="E13" s="29"/>
      <c r="F13" s="29"/>
      <c r="G13" s="29"/>
      <c r="H13" s="29"/>
      <c r="I13" s="29"/>
      <c r="J13" s="29"/>
    </row>
    <row r="14" spans="1:10" ht="15.75" thickTop="1">
      <c r="A14" s="4"/>
      <c r="B14" s="4"/>
      <c r="C14" s="4"/>
      <c r="D14" s="4"/>
      <c r="E14" s="4"/>
      <c r="F14" s="4"/>
      <c r="G14" s="4"/>
      <c r="H14" s="4"/>
      <c r="I14" s="25"/>
      <c r="J14" s="25"/>
    </row>
    <row r="15" spans="1:10" ht="15">
      <c r="A15" s="77" t="s">
        <v>28</v>
      </c>
      <c r="B15" s="77"/>
      <c r="C15" s="77"/>
      <c r="D15" s="77"/>
      <c r="E15" s="77"/>
      <c r="F15" s="77"/>
      <c r="G15" s="77"/>
      <c r="H15" s="77"/>
      <c r="I15" s="78"/>
      <c r="J15" s="78"/>
    </row>
    <row r="16" spans="1:10" ht="15">
      <c r="A16" s="78"/>
      <c r="B16" s="78"/>
      <c r="C16" s="79" t="s">
        <v>20</v>
      </c>
      <c r="D16" s="80" t="s">
        <v>46</v>
      </c>
      <c r="E16" s="81"/>
      <c r="F16" s="81"/>
      <c r="G16" s="79" t="s">
        <v>21</v>
      </c>
      <c r="H16" s="79" t="s">
        <v>22</v>
      </c>
      <c r="I16" s="80" t="s">
        <v>45</v>
      </c>
      <c r="J16" s="80"/>
    </row>
    <row r="17" spans="1:10" ht="15">
      <c r="A17" s="78"/>
      <c r="B17" s="78" t="s">
        <v>23</v>
      </c>
      <c r="C17" s="82">
        <v>173.33</v>
      </c>
      <c r="D17" s="83">
        <v>0.33</v>
      </c>
      <c r="E17" s="83">
        <v>0.45</v>
      </c>
      <c r="F17" s="83">
        <v>0.9</v>
      </c>
      <c r="G17" s="84">
        <v>0.010385</v>
      </c>
      <c r="H17" s="85">
        <v>0.01375</v>
      </c>
      <c r="I17" s="86" t="s">
        <v>24</v>
      </c>
      <c r="J17" s="86" t="s">
        <v>25</v>
      </c>
    </row>
    <row r="18" spans="1:10" ht="15">
      <c r="A18" s="25" t="s">
        <v>1</v>
      </c>
      <c r="B18" s="25">
        <v>332033</v>
      </c>
      <c r="C18" s="25">
        <v>1915.61</v>
      </c>
      <c r="D18" s="25">
        <v>632.15</v>
      </c>
      <c r="E18" s="25">
        <v>862.02</v>
      </c>
      <c r="F18" s="25">
        <v>1724.05</v>
      </c>
      <c r="G18" s="25">
        <v>3448.16</v>
      </c>
      <c r="H18" s="25">
        <v>4565.45</v>
      </c>
      <c r="I18" s="25">
        <v>423235</v>
      </c>
      <c r="J18" s="25">
        <v>430189</v>
      </c>
    </row>
    <row r="19" spans="1:10" ht="15">
      <c r="A19" s="25" t="s">
        <v>53</v>
      </c>
      <c r="B19" s="25">
        <v>336435</v>
      </c>
      <c r="C19" s="25">
        <v>1941.01</v>
      </c>
      <c r="D19" s="25">
        <v>640.53</v>
      </c>
      <c r="E19" s="25">
        <v>873.45</v>
      </c>
      <c r="F19" s="25">
        <v>1746.91</v>
      </c>
      <c r="G19" s="25">
        <v>3493.88</v>
      </c>
      <c r="H19" s="25">
        <v>4625.99</v>
      </c>
      <c r="I19" s="25">
        <v>428847</v>
      </c>
      <c r="J19" s="25">
        <v>435893</v>
      </c>
    </row>
    <row r="20" spans="1:10" ht="15">
      <c r="A20" s="25" t="s">
        <v>84</v>
      </c>
      <c r="B20" s="25">
        <v>340902</v>
      </c>
      <c r="C20" s="25">
        <v>1966.78</v>
      </c>
      <c r="D20" s="25">
        <v>649.04</v>
      </c>
      <c r="E20" s="25">
        <v>885.05</v>
      </c>
      <c r="F20" s="25">
        <v>1770.1</v>
      </c>
      <c r="G20" s="25">
        <v>3540.27</v>
      </c>
      <c r="H20" s="25">
        <v>4687.4</v>
      </c>
      <c r="I20" s="25">
        <v>434541</v>
      </c>
      <c r="J20" s="25">
        <v>441680</v>
      </c>
    </row>
    <row r="21" spans="1:10" ht="15">
      <c r="A21" s="25" t="s">
        <v>83</v>
      </c>
      <c r="B21" s="25">
        <v>351810</v>
      </c>
      <c r="C21" s="25">
        <v>2029.71</v>
      </c>
      <c r="D21" s="25">
        <v>669.8</v>
      </c>
      <c r="E21" s="25">
        <v>913.37</v>
      </c>
      <c r="F21" s="25">
        <v>1826.74</v>
      </c>
      <c r="G21" s="25">
        <v>3653.54</v>
      </c>
      <c r="H21" s="25">
        <v>4837.38</v>
      </c>
      <c r="I21" s="25">
        <v>448445</v>
      </c>
      <c r="J21" s="25">
        <v>455813</v>
      </c>
    </row>
    <row r="22" spans="1:10" ht="1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5">
      <c r="A23" s="77" t="s">
        <v>99</v>
      </c>
      <c r="B23" s="77"/>
      <c r="C23" s="77"/>
      <c r="D23" s="77"/>
      <c r="E23" s="77"/>
      <c r="F23" s="77"/>
      <c r="G23" s="77"/>
      <c r="H23" s="77"/>
      <c r="I23" s="77"/>
      <c r="J23" s="77"/>
    </row>
    <row r="24" spans="1:10" ht="15.75" thickBot="1">
      <c r="A24" s="29" t="s">
        <v>100</v>
      </c>
      <c r="B24" s="87">
        <v>375276</v>
      </c>
      <c r="C24" s="29">
        <v>2165.09</v>
      </c>
      <c r="D24" s="29">
        <v>714.48</v>
      </c>
      <c r="E24" s="29">
        <v>974.29</v>
      </c>
      <c r="F24" s="29">
        <v>1948.58</v>
      </c>
      <c r="G24" s="29">
        <v>3897.24</v>
      </c>
      <c r="H24" s="29">
        <v>5160.04</v>
      </c>
      <c r="I24" s="29">
        <v>494790</v>
      </c>
      <c r="J24" s="29">
        <v>502649</v>
      </c>
    </row>
    <row r="25" spans="2:10" ht="15.75" thickTop="1">
      <c r="B25" s="4"/>
      <c r="C25" s="4"/>
      <c r="D25" s="4"/>
      <c r="E25" s="4"/>
      <c r="F25" s="4"/>
      <c r="G25" s="4"/>
      <c r="H25" s="4"/>
      <c r="I25" s="4"/>
      <c r="J25" s="4"/>
    </row>
    <row r="26" spans="1:10" ht="15">
      <c r="A26" s="77" t="s">
        <v>32</v>
      </c>
      <c r="B26" s="77"/>
      <c r="C26" s="77"/>
      <c r="D26" s="77"/>
      <c r="E26" s="77"/>
      <c r="F26" s="77"/>
      <c r="G26" s="77"/>
      <c r="H26" s="77"/>
      <c r="I26" s="77"/>
      <c r="J26" s="77"/>
    </row>
    <row r="27" spans="1:10" ht="15">
      <c r="A27" s="4" t="s">
        <v>78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5">
      <c r="A28" s="4" t="s">
        <v>81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15">
      <c r="A29" s="4" t="s">
        <v>79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ht="15">
      <c r="A30" s="4" t="s">
        <v>80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5">
      <c r="A32" s="78" t="s">
        <v>28</v>
      </c>
      <c r="B32" s="78"/>
      <c r="C32" s="78"/>
      <c r="D32" s="78"/>
      <c r="E32" s="25"/>
      <c r="F32" s="25"/>
      <c r="G32" s="25"/>
      <c r="H32" s="25"/>
      <c r="I32" s="25"/>
      <c r="J32" s="25"/>
    </row>
    <row r="33" spans="1:10" ht="15">
      <c r="A33" s="25"/>
      <c r="B33" s="25"/>
      <c r="C33" s="79" t="s">
        <v>20</v>
      </c>
      <c r="D33" s="80" t="s">
        <v>46</v>
      </c>
      <c r="E33" s="81"/>
      <c r="F33" s="81"/>
      <c r="G33" s="79" t="s">
        <v>21</v>
      </c>
      <c r="H33" s="79" t="s">
        <v>22</v>
      </c>
      <c r="I33" s="80" t="s">
        <v>45</v>
      </c>
      <c r="J33" s="80"/>
    </row>
    <row r="34" spans="1:10" ht="15">
      <c r="A34" s="78"/>
      <c r="B34" s="78" t="s">
        <v>23</v>
      </c>
      <c r="C34" s="82">
        <v>173.33</v>
      </c>
      <c r="D34" s="83">
        <v>0.33</v>
      </c>
      <c r="E34" s="83">
        <v>0.45</v>
      </c>
      <c r="F34" s="83">
        <v>0.9</v>
      </c>
      <c r="G34" s="84">
        <v>0.010385</v>
      </c>
      <c r="H34" s="85">
        <v>0.01375</v>
      </c>
      <c r="I34" s="86" t="s">
        <v>24</v>
      </c>
      <c r="J34" s="86" t="s">
        <v>25</v>
      </c>
    </row>
    <row r="35" spans="1:10" ht="15">
      <c r="A35" s="25" t="s">
        <v>1</v>
      </c>
      <c r="B35" s="25">
        <v>381838</v>
      </c>
      <c r="C35" s="25">
        <v>2202.95</v>
      </c>
      <c r="D35" s="25">
        <v>726.97</v>
      </c>
      <c r="E35" s="25">
        <v>991.33</v>
      </c>
      <c r="F35" s="25">
        <v>1982.66</v>
      </c>
      <c r="G35" s="25">
        <v>3965.38</v>
      </c>
      <c r="H35" s="25">
        <v>5250.27</v>
      </c>
      <c r="I35" s="25">
        <v>486721</v>
      </c>
      <c r="J35" s="25">
        <v>494718</v>
      </c>
    </row>
    <row r="36" spans="1:10" ht="15">
      <c r="A36" s="25" t="s">
        <v>53</v>
      </c>
      <c r="B36" s="25">
        <v>386901</v>
      </c>
      <c r="C36" s="25">
        <v>2232.16</v>
      </c>
      <c r="D36" s="25">
        <v>736.61</v>
      </c>
      <c r="E36" s="25">
        <v>1004.47</v>
      </c>
      <c r="F36" s="25">
        <v>2008.95</v>
      </c>
      <c r="G36" s="25">
        <v>4017.96</v>
      </c>
      <c r="H36" s="25">
        <v>5319.88</v>
      </c>
      <c r="I36" s="25">
        <v>493175</v>
      </c>
      <c r="J36" s="25">
        <v>501277</v>
      </c>
    </row>
    <row r="37" spans="1:10" ht="15">
      <c r="A37" s="25" t="s">
        <v>84</v>
      </c>
      <c r="B37" s="25">
        <v>392037</v>
      </c>
      <c r="C37" s="25">
        <v>2261.8</v>
      </c>
      <c r="D37" s="25">
        <v>746.39</v>
      </c>
      <c r="E37" s="25">
        <v>1017.81</v>
      </c>
      <c r="F37" s="25">
        <v>2035.62</v>
      </c>
      <c r="G37" s="25">
        <v>4071.31</v>
      </c>
      <c r="H37" s="25">
        <v>5390.51</v>
      </c>
      <c r="I37" s="25">
        <v>499722</v>
      </c>
      <c r="J37" s="25">
        <v>507932</v>
      </c>
    </row>
    <row r="38" spans="1:10" ht="15">
      <c r="A38" s="25" t="s">
        <v>83</v>
      </c>
      <c r="B38" s="25">
        <v>404581</v>
      </c>
      <c r="C38" s="25">
        <v>2334.17</v>
      </c>
      <c r="D38" s="25">
        <v>770.28</v>
      </c>
      <c r="E38" s="25">
        <v>1050.38</v>
      </c>
      <c r="F38" s="25">
        <v>2100.75</v>
      </c>
      <c r="G38" s="25">
        <v>4201.58</v>
      </c>
      <c r="H38" s="25">
        <v>5562.99</v>
      </c>
      <c r="I38" s="25">
        <v>515712</v>
      </c>
      <c r="J38" s="25">
        <v>524185</v>
      </c>
    </row>
    <row r="39" spans="1:10" ht="1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5">
      <c r="A40" s="78" t="s">
        <v>99</v>
      </c>
      <c r="B40" s="78"/>
      <c r="C40" s="78"/>
      <c r="D40" s="78"/>
      <c r="E40" s="78"/>
      <c r="F40" s="78"/>
      <c r="G40" s="78"/>
      <c r="H40" s="78"/>
      <c r="I40" s="25"/>
      <c r="J40" s="25"/>
    </row>
    <row r="41" spans="1:10" ht="15.75" thickBot="1">
      <c r="A41" s="88"/>
      <c r="B41" s="89">
        <v>431567</v>
      </c>
      <c r="C41" s="54">
        <v>2489.86</v>
      </c>
      <c r="D41" s="54">
        <v>821.65</v>
      </c>
      <c r="E41" s="54">
        <v>1120.44</v>
      </c>
      <c r="F41" s="54">
        <v>2240.87</v>
      </c>
      <c r="G41" s="54">
        <v>4481.82</v>
      </c>
      <c r="H41" s="54">
        <v>5934.05</v>
      </c>
      <c r="I41" s="29">
        <v>569008</v>
      </c>
      <c r="J41" s="29">
        <v>578046</v>
      </c>
    </row>
    <row r="42" spans="1:10" ht="15.75" thickTop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5">
      <c r="A43" s="26"/>
      <c r="B43" s="26"/>
      <c r="C43" s="26"/>
      <c r="D43" s="32" t="s">
        <v>57</v>
      </c>
      <c r="E43" s="32" t="s">
        <v>58</v>
      </c>
      <c r="F43" s="32" t="s">
        <v>97</v>
      </c>
      <c r="G43" s="32"/>
      <c r="H43" s="32" t="s">
        <v>104</v>
      </c>
      <c r="I43" s="4"/>
      <c r="J43" s="4"/>
    </row>
    <row r="44" spans="1:10" ht="15">
      <c r="A44" s="31" t="s">
        <v>62</v>
      </c>
      <c r="B44" s="26"/>
      <c r="C44" s="26"/>
      <c r="D44" s="4">
        <v>6121</v>
      </c>
      <c r="E44" s="4">
        <v>6121</v>
      </c>
      <c r="F44" s="4">
        <v>2082</v>
      </c>
      <c r="G44" s="4"/>
      <c r="H44" s="4"/>
      <c r="I44" s="4"/>
      <c r="J44" s="4"/>
    </row>
    <row r="45" spans="1:10" ht="15">
      <c r="A45" s="31" t="s">
        <v>105</v>
      </c>
      <c r="B45" s="26"/>
      <c r="C45" s="26"/>
      <c r="D45" s="4"/>
      <c r="E45" s="4"/>
      <c r="F45" s="4"/>
      <c r="G45" s="4"/>
      <c r="H45" s="4">
        <v>18000</v>
      </c>
      <c r="I45" s="4"/>
      <c r="J45" s="4"/>
    </row>
    <row r="46" spans="1:10" ht="15">
      <c r="A46" s="4" t="s">
        <v>68</v>
      </c>
      <c r="B46" s="4"/>
      <c r="C46" s="53">
        <v>2016</v>
      </c>
      <c r="D46" s="4">
        <v>44500</v>
      </c>
      <c r="E46" s="4"/>
      <c r="F46" s="4"/>
      <c r="G46" s="4"/>
      <c r="H46" s="4"/>
      <c r="I46" s="4"/>
      <c r="J46" s="4"/>
    </row>
    <row r="47" spans="1:10" ht="15">
      <c r="A47" s="4" t="s">
        <v>64</v>
      </c>
      <c r="B47" s="4"/>
      <c r="C47" s="53">
        <v>2016</v>
      </c>
      <c r="D47" s="4">
        <v>82000</v>
      </c>
      <c r="E47" s="4"/>
      <c r="F47" s="4"/>
      <c r="G47" s="4"/>
      <c r="H47" s="4"/>
      <c r="I47" s="4"/>
      <c r="J47" s="4"/>
    </row>
    <row r="48" spans="1:10" ht="1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21">
      <c r="A55" s="90" t="s">
        <v>106</v>
      </c>
      <c r="B55" s="90"/>
      <c r="C55" s="90"/>
      <c r="D55" s="90"/>
      <c r="E55" s="90"/>
      <c r="F55" s="90"/>
      <c r="G55" s="90"/>
      <c r="H55" s="90"/>
      <c r="I55" s="90"/>
      <c r="J55" s="90"/>
    </row>
    <row r="56" spans="1:10" ht="1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5">
      <c r="A57" s="91" t="s">
        <v>107</v>
      </c>
      <c r="B57" s="91"/>
      <c r="C57" s="91"/>
      <c r="D57" s="91"/>
      <c r="E57" s="91"/>
      <c r="F57" s="77"/>
      <c r="G57" s="77"/>
      <c r="H57" s="77"/>
      <c r="I57" s="77"/>
      <c r="J57" s="77"/>
    </row>
    <row r="58" spans="1:10" ht="15">
      <c r="A58" s="25"/>
      <c r="B58" s="25"/>
      <c r="C58" s="79" t="s">
        <v>20</v>
      </c>
      <c r="D58" s="80" t="s">
        <v>46</v>
      </c>
      <c r="E58" s="80"/>
      <c r="F58" s="80"/>
      <c r="G58" s="79" t="s">
        <v>21</v>
      </c>
      <c r="H58" s="80" t="s">
        <v>45</v>
      </c>
      <c r="I58" s="80"/>
      <c r="J58" s="78" t="s">
        <v>88</v>
      </c>
    </row>
    <row r="59" spans="1:10" ht="15">
      <c r="A59" s="25"/>
      <c r="B59" s="78" t="s">
        <v>37</v>
      </c>
      <c r="C59" s="82">
        <v>173.33</v>
      </c>
      <c r="D59" s="83">
        <v>0.33</v>
      </c>
      <c r="E59" s="83">
        <v>0.45</v>
      </c>
      <c r="F59" s="83">
        <v>0.9</v>
      </c>
      <c r="G59" s="84">
        <v>0.010385</v>
      </c>
      <c r="H59" s="86" t="s">
        <v>24</v>
      </c>
      <c r="I59" s="86" t="s">
        <v>25</v>
      </c>
      <c r="J59" s="78" t="s">
        <v>89</v>
      </c>
    </row>
    <row r="60" spans="1:10" ht="15">
      <c r="A60" s="25" t="s">
        <v>40</v>
      </c>
      <c r="B60" s="25">
        <v>193122</v>
      </c>
      <c r="C60" s="25">
        <v>1114.19</v>
      </c>
      <c r="D60" s="25">
        <v>367.68</v>
      </c>
      <c r="E60" s="25">
        <v>501.38</v>
      </c>
      <c r="F60" s="25">
        <v>1002.77</v>
      </c>
      <c r="G60" s="25">
        <v>2108.7</v>
      </c>
      <c r="H60" s="25">
        <v>255554</v>
      </c>
      <c r="I60" s="25">
        <v>259598</v>
      </c>
      <c r="J60" s="25">
        <v>2279.18</v>
      </c>
    </row>
    <row r="61" spans="1:10" ht="15">
      <c r="A61" s="25" t="s">
        <v>41</v>
      </c>
      <c r="B61" s="25">
        <v>203052</v>
      </c>
      <c r="C61" s="25">
        <v>1171.48</v>
      </c>
      <c r="D61" s="25">
        <v>386.59</v>
      </c>
      <c r="E61" s="25">
        <v>527.16</v>
      </c>
      <c r="F61" s="25">
        <v>1054.33</v>
      </c>
      <c r="G61" s="25">
        <v>2108.7</v>
      </c>
      <c r="H61" s="25">
        <v>267718</v>
      </c>
      <c r="I61" s="25">
        <v>271970</v>
      </c>
      <c r="J61" s="25">
        <v>2373.6</v>
      </c>
    </row>
    <row r="62" spans="1:10" ht="15">
      <c r="A62" s="25" t="s">
        <v>42</v>
      </c>
      <c r="B62" s="25">
        <v>222912</v>
      </c>
      <c r="C62" s="25">
        <v>1286.06</v>
      </c>
      <c r="D62" s="25">
        <v>424.4</v>
      </c>
      <c r="E62" s="25">
        <v>578.72</v>
      </c>
      <c r="F62" s="25">
        <v>1157.45</v>
      </c>
      <c r="G62" s="25">
        <v>2314.94</v>
      </c>
      <c r="H62" s="25">
        <v>293903</v>
      </c>
      <c r="I62" s="25">
        <v>298571</v>
      </c>
      <c r="J62" s="25">
        <v>2671.53</v>
      </c>
    </row>
    <row r="63" spans="1:10" ht="15">
      <c r="A63" s="25" t="s">
        <v>43</v>
      </c>
      <c r="B63" s="25">
        <v>232843</v>
      </c>
      <c r="C63" s="25">
        <v>1343.35</v>
      </c>
      <c r="D63" s="25">
        <v>443.31</v>
      </c>
      <c r="E63" s="25">
        <v>604.51</v>
      </c>
      <c r="F63" s="25">
        <v>1209.02</v>
      </c>
      <c r="G63" s="25">
        <v>2418.07</v>
      </c>
      <c r="H63" s="25">
        <v>306996</v>
      </c>
      <c r="I63" s="25">
        <v>311873</v>
      </c>
      <c r="J63" s="25">
        <v>2683.86</v>
      </c>
    </row>
    <row r="64" spans="1:10" ht="15">
      <c r="A64" s="25"/>
      <c r="B64" s="25"/>
      <c r="C64" s="25"/>
      <c r="D64" s="25"/>
      <c r="E64" s="25"/>
      <c r="F64" s="25"/>
      <c r="G64" s="25"/>
      <c r="H64" s="25"/>
      <c r="I64" s="25"/>
      <c r="J64" s="4"/>
    </row>
    <row r="65" spans="1:10" ht="15">
      <c r="A65" s="91" t="s">
        <v>108</v>
      </c>
      <c r="B65" s="91"/>
      <c r="C65" s="91"/>
      <c r="D65" s="91"/>
      <c r="E65" s="91"/>
      <c r="F65" s="4"/>
      <c r="G65" s="4"/>
      <c r="H65" s="4"/>
      <c r="I65" s="4"/>
      <c r="J65" s="4"/>
    </row>
    <row r="66" spans="1:10" ht="15">
      <c r="A66" s="25"/>
      <c r="B66" s="25"/>
      <c r="C66" s="79" t="s">
        <v>20</v>
      </c>
      <c r="D66" s="80" t="s">
        <v>46</v>
      </c>
      <c r="E66" s="80"/>
      <c r="F66" s="80"/>
      <c r="G66" s="79" t="s">
        <v>21</v>
      </c>
      <c r="H66" s="80" t="s">
        <v>45</v>
      </c>
      <c r="I66" s="80"/>
      <c r="J66" s="78" t="s">
        <v>88</v>
      </c>
    </row>
    <row r="67" spans="1:10" ht="15">
      <c r="A67" s="25"/>
      <c r="B67" s="78" t="s">
        <v>37</v>
      </c>
      <c r="C67" s="82">
        <v>173.33</v>
      </c>
      <c r="D67" s="83">
        <v>0.33</v>
      </c>
      <c r="E67" s="83">
        <v>0.45</v>
      </c>
      <c r="F67" s="83">
        <v>0.9</v>
      </c>
      <c r="G67" s="84">
        <v>0.010385</v>
      </c>
      <c r="H67" s="86" t="s">
        <v>24</v>
      </c>
      <c r="I67" s="86" t="s">
        <v>25</v>
      </c>
      <c r="J67" s="78" t="s">
        <v>89</v>
      </c>
    </row>
    <row r="68" spans="1:10" ht="15">
      <c r="A68" s="25" t="s">
        <v>55</v>
      </c>
      <c r="B68" s="92">
        <v>193122</v>
      </c>
      <c r="C68" s="25">
        <v>1114.19</v>
      </c>
      <c r="D68" s="25">
        <v>367.68</v>
      </c>
      <c r="E68" s="25">
        <v>501.38</v>
      </c>
      <c r="F68" s="25">
        <v>1002.77</v>
      </c>
      <c r="G68" s="25">
        <v>2108.7</v>
      </c>
      <c r="H68" s="25">
        <v>255554</v>
      </c>
      <c r="I68" s="25">
        <v>259598</v>
      </c>
      <c r="J68" s="25">
        <v>2279.18</v>
      </c>
    </row>
    <row r="69" spans="1:10" ht="15">
      <c r="A69" s="25" t="s">
        <v>41</v>
      </c>
      <c r="B69" s="92">
        <v>203052</v>
      </c>
      <c r="C69" s="25">
        <v>1171.48</v>
      </c>
      <c r="D69" s="25">
        <v>386.59</v>
      </c>
      <c r="E69" s="25">
        <v>527.16</v>
      </c>
      <c r="F69" s="25">
        <v>1054.33</v>
      </c>
      <c r="G69" s="25">
        <v>2108.7</v>
      </c>
      <c r="H69" s="25">
        <v>267718</v>
      </c>
      <c r="I69" s="25">
        <v>271970</v>
      </c>
      <c r="J69" s="25">
        <v>2638.5</v>
      </c>
    </row>
    <row r="70" spans="1:10" ht="15">
      <c r="A70" s="25" t="s">
        <v>42</v>
      </c>
      <c r="B70" s="92">
        <v>227878</v>
      </c>
      <c r="C70" s="25">
        <v>1314.71</v>
      </c>
      <c r="D70" s="25">
        <v>433.85</v>
      </c>
      <c r="E70" s="25">
        <v>591.62</v>
      </c>
      <c r="F70" s="25">
        <v>1183.24</v>
      </c>
      <c r="G70" s="25">
        <v>2366.51</v>
      </c>
      <c r="H70" s="25">
        <v>300450</v>
      </c>
      <c r="I70" s="25">
        <v>305223</v>
      </c>
      <c r="J70" s="25">
        <v>2677.38</v>
      </c>
    </row>
    <row r="71" spans="1:10" ht="15">
      <c r="A71" s="4"/>
      <c r="B71" s="4"/>
      <c r="C71" s="4"/>
      <c r="D71" s="4"/>
      <c r="E71" s="4"/>
      <c r="F71" s="4"/>
      <c r="G71" s="4"/>
      <c r="H71" s="4"/>
      <c r="I71" s="25"/>
      <c r="J71" s="25"/>
    </row>
    <row r="72" spans="1:10" ht="15">
      <c r="A72" s="4"/>
      <c r="B72" s="4"/>
      <c r="C72" s="4"/>
      <c r="D72" s="77" t="s">
        <v>57</v>
      </c>
      <c r="E72" s="77" t="s">
        <v>58</v>
      </c>
      <c r="F72" s="77" t="s">
        <v>97</v>
      </c>
      <c r="G72" s="77"/>
      <c r="H72" s="77" t="s">
        <v>109</v>
      </c>
      <c r="I72" s="4"/>
      <c r="J72" s="4"/>
    </row>
    <row r="73" spans="1:10" ht="15">
      <c r="A73" s="77" t="s">
        <v>62</v>
      </c>
      <c r="B73" s="4"/>
      <c r="C73" s="4"/>
      <c r="D73" s="4">
        <v>6121</v>
      </c>
      <c r="E73" s="4">
        <v>6121</v>
      </c>
      <c r="F73" s="4">
        <v>2082</v>
      </c>
      <c r="G73" s="4"/>
      <c r="H73" s="4"/>
      <c r="I73" s="4"/>
      <c r="J73" s="4"/>
    </row>
    <row r="74" spans="1:10" ht="15">
      <c r="A74" s="77" t="s">
        <v>110</v>
      </c>
      <c r="B74" s="4"/>
      <c r="C74" s="4"/>
      <c r="D74" s="4"/>
      <c r="E74" s="4"/>
      <c r="F74" s="4"/>
      <c r="G74" s="4"/>
      <c r="H74" s="4">
        <v>18000</v>
      </c>
      <c r="I74" s="4"/>
      <c r="J74" s="4"/>
    </row>
    <row r="75" spans="1:10" ht="15">
      <c r="A75" s="4" t="s">
        <v>63</v>
      </c>
      <c r="B75" s="4"/>
      <c r="C75" s="4"/>
      <c r="D75" s="53">
        <v>2016</v>
      </c>
      <c r="E75" s="4">
        <v>44500</v>
      </c>
      <c r="F75" s="4"/>
      <c r="G75" s="4"/>
      <c r="H75" s="4"/>
      <c r="I75" s="4"/>
      <c r="J75" s="4"/>
    </row>
    <row r="76" spans="1:10" ht="15">
      <c r="A76" s="4" t="s">
        <v>64</v>
      </c>
      <c r="B76" s="4"/>
      <c r="C76" s="4"/>
      <c r="D76" s="53">
        <v>2016</v>
      </c>
      <c r="E76" s="4">
        <v>82000</v>
      </c>
      <c r="F76" s="4"/>
      <c r="G76" s="4"/>
      <c r="H76" s="4"/>
      <c r="I76" s="4"/>
      <c r="J76" s="4"/>
    </row>
    <row r="77" spans="1:10" ht="15">
      <c r="A77" s="4" t="s">
        <v>65</v>
      </c>
      <c r="B77" s="4"/>
      <c r="C77" s="4"/>
      <c r="D77" s="4"/>
      <c r="E77" s="4"/>
      <c r="F77" s="4"/>
      <c r="G77" s="4"/>
      <c r="H77" s="4"/>
      <c r="I77" s="4"/>
      <c r="J77" s="4"/>
    </row>
  </sheetData>
  <sheetProtection/>
  <mergeCells count="15">
    <mergeCell ref="A65:E65"/>
    <mergeCell ref="D66:F66"/>
    <mergeCell ref="H66:I66"/>
    <mergeCell ref="D33:F33"/>
    <mergeCell ref="I33:J33"/>
    <mergeCell ref="A55:J55"/>
    <mergeCell ref="A57:E57"/>
    <mergeCell ref="D58:F58"/>
    <mergeCell ref="H58:I58"/>
    <mergeCell ref="A1:H1"/>
    <mergeCell ref="D4:F4"/>
    <mergeCell ref="I4:J4"/>
    <mergeCell ref="I8:J8"/>
    <mergeCell ref="D16:F16"/>
    <mergeCell ref="I16:J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43">
      <selection activeCell="B12" sqref="B12"/>
    </sheetView>
  </sheetViews>
  <sheetFormatPr defaultColWidth="11.421875" defaultRowHeight="15"/>
  <cols>
    <col min="1" max="3" width="11.421875" style="4" customWidth="1"/>
    <col min="4" max="4" width="7.421875" style="4" customWidth="1"/>
    <col min="5" max="6" width="6.421875" style="4" customWidth="1"/>
    <col min="7" max="7" width="7.8515625" style="4" customWidth="1"/>
    <col min="8" max="8" width="9.00390625" style="4" customWidth="1"/>
    <col min="9" max="16384" width="11.421875" style="4" customWidth="1"/>
  </cols>
  <sheetData>
    <row r="1" spans="1:10" ht="23.25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3.2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4" ht="15">
      <c r="A3" s="5" t="s">
        <v>26</v>
      </c>
      <c r="B3" s="5"/>
      <c r="C3" s="5"/>
      <c r="D3" s="5"/>
    </row>
    <row r="4" spans="1:10" ht="15">
      <c r="A4" s="6"/>
      <c r="B4" s="6"/>
      <c r="C4" s="7" t="s">
        <v>20</v>
      </c>
      <c r="D4" s="65" t="s">
        <v>46</v>
      </c>
      <c r="E4" s="66"/>
      <c r="F4" s="67"/>
      <c r="G4" s="7" t="s">
        <v>21</v>
      </c>
      <c r="H4" s="7" t="s">
        <v>22</v>
      </c>
      <c r="I4" s="68" t="s">
        <v>45</v>
      </c>
      <c r="J4" s="68"/>
    </row>
    <row r="5" spans="1:10" ht="15">
      <c r="A5" s="8"/>
      <c r="B5" s="8" t="s">
        <v>23</v>
      </c>
      <c r="C5" s="9">
        <v>173.33</v>
      </c>
      <c r="D5" s="20">
        <v>0.33</v>
      </c>
      <c r="E5" s="10">
        <v>0.45</v>
      </c>
      <c r="F5" s="21">
        <v>0.9</v>
      </c>
      <c r="G5" s="11">
        <v>0.010385</v>
      </c>
      <c r="H5" s="38">
        <v>0.01375</v>
      </c>
      <c r="I5" s="22" t="s">
        <v>24</v>
      </c>
      <c r="J5" s="22" t="s">
        <v>25</v>
      </c>
    </row>
    <row r="6" spans="1:10" ht="15">
      <c r="A6" s="4" t="s">
        <v>48</v>
      </c>
      <c r="B6" s="4">
        <v>156897.263806</v>
      </c>
      <c r="C6" s="4">
        <f>B6/$C$5</f>
        <v>905.1939295332602</v>
      </c>
      <c r="D6" s="4">
        <f>C6*Stuðlar!$A$14</f>
        <v>298.71399674597586</v>
      </c>
      <c r="E6" s="4">
        <f>C6*Stuðlar!$A$15</f>
        <v>407.3372682899671</v>
      </c>
      <c r="F6" s="4">
        <f>C6*Stuðlar!$A$16</f>
        <v>814.6745365799342</v>
      </c>
      <c r="G6" s="4">
        <f>B6*$G$5</f>
        <v>1629.37808462531</v>
      </c>
      <c r="H6" s="4">
        <f>B6*$H$5</f>
        <v>2157.3373773325</v>
      </c>
      <c r="I6" s="24">
        <f>B6+(50*D6)+(50*E6)+(9*G6)</f>
        <v>206864.22981942497</v>
      </c>
      <c r="J6" s="24">
        <f>B6+(61*D6)+(50*E6)+(9*G6)</f>
        <v>210150.0837836307</v>
      </c>
    </row>
    <row r="7" spans="1:10" s="5" customFormat="1" ht="15">
      <c r="A7" s="5" t="s">
        <v>47</v>
      </c>
      <c r="I7" s="23"/>
      <c r="J7" s="23"/>
    </row>
    <row r="8" spans="1:10" ht="15">
      <c r="A8" s="4" t="s">
        <v>1</v>
      </c>
      <c r="B8" s="4">
        <v>178743.71826</v>
      </c>
      <c r="C8" s="4">
        <f>B8/$C$5</f>
        <v>1031.2335906075116</v>
      </c>
      <c r="D8" s="4">
        <f>C8*Stuðlar!$A$14</f>
        <v>340.30708490047886</v>
      </c>
      <c r="E8" s="4">
        <f>C8*Stuðlar!$A$15</f>
        <v>464.05511577338024</v>
      </c>
      <c r="F8" s="4">
        <f>C8*Stuðlar!$A$16</f>
        <v>928.1102315467605</v>
      </c>
      <c r="G8" s="4">
        <f>B8*$G$5</f>
        <v>1856.2535141301</v>
      </c>
      <c r="H8" s="4">
        <f>B8*$H$5</f>
        <v>2457.726126075</v>
      </c>
      <c r="I8" s="24">
        <f>B8+(50*D8)+(50*E8)+(9*G8)</f>
        <v>235668.10992086388</v>
      </c>
      <c r="J8" s="24">
        <f>B8+(61*D8)+(50*E8)+(9*G8)</f>
        <v>239411.4878547691</v>
      </c>
    </row>
    <row r="9" spans="1:10" ht="15">
      <c r="A9" s="4" t="s">
        <v>49</v>
      </c>
      <c r="B9" s="4">
        <f>B17*0.9</f>
        <v>182383.67015999998</v>
      </c>
      <c r="C9" s="4">
        <f>B9/$C$5</f>
        <v>1052.2337169560951</v>
      </c>
      <c r="D9" s="4">
        <f>C9*Stuðlar!$A$14</f>
        <v>347.2371265955114</v>
      </c>
      <c r="E9" s="4">
        <f>C9*Stuðlar!$A$15</f>
        <v>473.50517263024284</v>
      </c>
      <c r="F9" s="4">
        <f>C9*Stuðlar!$A$16</f>
        <v>947.0103452604857</v>
      </c>
      <c r="G9" s="4">
        <f>B9*$G$5</f>
        <v>1894.0544146116</v>
      </c>
      <c r="H9" s="4">
        <f>B9*$H$5</f>
        <v>2507.7754646999997</v>
      </c>
      <c r="I9" s="24">
        <f>B9+(50*D9)+(50*E9)+(9*G9)</f>
        <v>240467.2748527921</v>
      </c>
      <c r="J9" s="24">
        <f>B9+(61*D9)+(50*E9)+(9*G9)</f>
        <v>244286.88324534273</v>
      </c>
    </row>
    <row r="10" spans="1:10" s="5" customFormat="1" ht="15">
      <c r="A10" s="5" t="s">
        <v>27</v>
      </c>
      <c r="I10" s="6"/>
      <c r="J10" s="6"/>
    </row>
    <row r="11" spans="1:10" ht="15.75" thickBot="1">
      <c r="A11" s="29"/>
      <c r="B11" s="29">
        <f>Stuðlar!E5</f>
        <v>188029</v>
      </c>
      <c r="C11" s="29"/>
      <c r="D11" s="29"/>
      <c r="E11" s="29"/>
      <c r="F11" s="29"/>
      <c r="G11" s="29"/>
      <c r="H11" s="29"/>
      <c r="I11" s="29"/>
      <c r="J11" s="29"/>
    </row>
    <row r="12" spans="9:10" ht="15.75" thickTop="1">
      <c r="I12" s="25"/>
      <c r="J12" s="25"/>
    </row>
    <row r="13" spans="1:10" s="5" customFormat="1" ht="15">
      <c r="A13" s="5" t="s">
        <v>28</v>
      </c>
      <c r="I13" s="6"/>
      <c r="J13" s="6"/>
    </row>
    <row r="14" spans="3:10" s="5" customFormat="1" ht="15">
      <c r="C14" s="7" t="s">
        <v>20</v>
      </c>
      <c r="D14" s="65" t="s">
        <v>46</v>
      </c>
      <c r="E14" s="66"/>
      <c r="F14" s="67"/>
      <c r="G14" s="7" t="s">
        <v>21</v>
      </c>
      <c r="H14" s="7" t="s">
        <v>22</v>
      </c>
      <c r="I14" s="69" t="s">
        <v>45</v>
      </c>
      <c r="J14" s="69"/>
    </row>
    <row r="15" spans="2:10" s="5" customFormat="1" ht="15">
      <c r="B15" s="8" t="s">
        <v>23</v>
      </c>
      <c r="C15" s="9">
        <v>173.33</v>
      </c>
      <c r="D15" s="20">
        <v>0.33</v>
      </c>
      <c r="E15" s="10">
        <v>0.45</v>
      </c>
      <c r="F15" s="21">
        <v>0.9</v>
      </c>
      <c r="G15" s="11">
        <v>0.010385</v>
      </c>
      <c r="H15" s="38">
        <v>0.01375</v>
      </c>
      <c r="I15" s="22" t="s">
        <v>24</v>
      </c>
      <c r="J15" s="22" t="s">
        <v>25</v>
      </c>
    </row>
    <row r="16" spans="1:10" ht="15">
      <c r="A16" s="4" t="s">
        <v>1</v>
      </c>
      <c r="B16" s="4">
        <f>Stuðlar!E6+Stuðlar!$I$6</f>
        <v>198604.13139999998</v>
      </c>
      <c r="C16" s="4">
        <f>B16/$C$5</f>
        <v>1145.815100675013</v>
      </c>
      <c r="D16" s="4">
        <f>C16*Stuðlar!$A$14</f>
        <v>378.11898322275425</v>
      </c>
      <c r="E16" s="4">
        <f>C16*Stuðlar!$A$15</f>
        <v>515.6167953037558</v>
      </c>
      <c r="F16" s="4">
        <f>C16*Stuðlar!$A$16</f>
        <v>1031.2335906075116</v>
      </c>
      <c r="G16" s="4">
        <f>B16*$G$5</f>
        <v>2062.503904589</v>
      </c>
      <c r="H16" s="4">
        <f>B16*$H$5</f>
        <v>2730.80680675</v>
      </c>
      <c r="I16" s="24">
        <f>B16+(50*D16)+(50*E16)+(9*G16)</f>
        <v>261853.45546762648</v>
      </c>
      <c r="J16" s="24">
        <f>B16+(61*D16)+(50*E16)+(9*G16)</f>
        <v>266012.7642830768</v>
      </c>
    </row>
    <row r="17" spans="1:10" ht="15">
      <c r="A17" s="4" t="s">
        <v>49</v>
      </c>
      <c r="B17" s="4">
        <f>Stuðlar!E7+Stuðlar!$I$6</f>
        <v>202648.5224</v>
      </c>
      <c r="C17" s="4">
        <f>B17/$C$5</f>
        <v>1169.1485743956614</v>
      </c>
      <c r="D17" s="4">
        <f>C17*Stuðlar!$A$14</f>
        <v>385.8190295505683</v>
      </c>
      <c r="E17" s="4">
        <f>C17*Stuðlar!$A$15</f>
        <v>526.1168584780477</v>
      </c>
      <c r="F17" s="4">
        <f>C17*Stuðlar!$A$16</f>
        <v>1052.2337169560953</v>
      </c>
      <c r="G17" s="4">
        <f>B17*$G$5</f>
        <v>2104.504905124</v>
      </c>
      <c r="H17" s="4">
        <f>B17*$H$5</f>
        <v>2786.417183</v>
      </c>
      <c r="I17" s="24">
        <f>B17+(50*D17)+(50*E17)+(9*G17)</f>
        <v>267185.8609475468</v>
      </c>
      <c r="J17" s="24">
        <f>B17+(61*D17)+(50*E17)+(9*G17)</f>
        <v>271429.87027260306</v>
      </c>
    </row>
    <row r="18" spans="1:10" ht="15">
      <c r="A18" s="4" t="s">
        <v>50</v>
      </c>
      <c r="B18" s="4">
        <f>Stuðlar!E8+Stuðlar!$I$6</f>
        <v>206794.155</v>
      </c>
      <c r="C18" s="4">
        <f>B18/$C$5</f>
        <v>1193.066145502798</v>
      </c>
      <c r="D18" s="4">
        <f>C18*Stuðlar!$A$14</f>
        <v>393.71182801592334</v>
      </c>
      <c r="E18" s="4">
        <f>C18*Stuðlar!$A$15</f>
        <v>536.8797654762591</v>
      </c>
      <c r="F18" s="4">
        <f>C18*Stuðlar!$A$16</f>
        <v>1073.7595309525182</v>
      </c>
      <c r="G18" s="4">
        <f>B18*$G$5</f>
        <v>2147.557299675</v>
      </c>
      <c r="H18" s="4">
        <f>B18*$H$5</f>
        <v>2843.41963125</v>
      </c>
      <c r="I18" s="24">
        <f>B18+(50*D18)+(50*E18)+(9*G18)</f>
        <v>272651.75037168415</v>
      </c>
      <c r="J18" s="24">
        <f>B18+(61*D18)+(50*E18)+(9*G18)</f>
        <v>276982.5804798593</v>
      </c>
    </row>
    <row r="19" ht="15">
      <c r="L19" s="2"/>
    </row>
    <row r="20" s="5" customFormat="1" ht="15">
      <c r="A20" s="5" t="s">
        <v>31</v>
      </c>
    </row>
    <row r="21" spans="1:10" ht="15.75" thickBot="1">
      <c r="A21" s="29"/>
      <c r="B21" s="29">
        <f>Stuðlar!E9+Stuðlar!I6</f>
        <v>230456.2152</v>
      </c>
      <c r="C21" s="29">
        <f>B21/$C$5</f>
        <v>1329.5806565510875</v>
      </c>
      <c r="D21" s="29">
        <f>C21*Stuðlar!$A$14</f>
        <v>438.7616166618589</v>
      </c>
      <c r="E21" s="29">
        <f>C21*Stuðlar!$A$15</f>
        <v>598.3112954479894</v>
      </c>
      <c r="F21" s="29">
        <f>C21*Stuðlar!$A$16</f>
        <v>1196.6225908959789</v>
      </c>
      <c r="G21" s="29">
        <f>B21*$G$5</f>
        <v>2393.287794852</v>
      </c>
      <c r="H21" s="29">
        <f>B21*$H$5</f>
        <v>3168.772959</v>
      </c>
      <c r="I21" s="29">
        <f>B21+(50*D21)+(50*E21)+(9*G21)</f>
        <v>303849.45095916046</v>
      </c>
      <c r="J21" s="29">
        <f>B21+(61*D21)+(50*E21)+(9*G21)</f>
        <v>308675.8287424409</v>
      </c>
    </row>
    <row r="22" ht="15.75" thickTop="1"/>
    <row r="23" s="5" customFormat="1" ht="15">
      <c r="A23" s="5" t="s">
        <v>32</v>
      </c>
    </row>
    <row r="24" ht="15">
      <c r="A24" s="4" t="s">
        <v>33</v>
      </c>
    </row>
    <row r="25" ht="15">
      <c r="A25" s="4" t="s">
        <v>34</v>
      </c>
    </row>
    <row r="26" ht="15">
      <c r="A26" s="4" t="s">
        <v>35</v>
      </c>
    </row>
    <row r="27" ht="15">
      <c r="A27" s="4" t="s">
        <v>36</v>
      </c>
    </row>
    <row r="28" spans="1:4" ht="15">
      <c r="A28" s="5" t="s">
        <v>28</v>
      </c>
      <c r="B28" s="5"/>
      <c r="C28" s="5"/>
      <c r="D28" s="5"/>
    </row>
    <row r="29" spans="3:10" ht="15">
      <c r="C29" s="7" t="s">
        <v>20</v>
      </c>
      <c r="D29" s="65" t="s">
        <v>46</v>
      </c>
      <c r="E29" s="66"/>
      <c r="F29" s="67"/>
      <c r="G29" s="7" t="s">
        <v>21</v>
      </c>
      <c r="H29" s="7" t="s">
        <v>22</v>
      </c>
      <c r="I29" s="68" t="s">
        <v>45</v>
      </c>
      <c r="J29" s="68"/>
    </row>
    <row r="30" spans="1:10" s="5" customFormat="1" ht="15">
      <c r="A30" s="8"/>
      <c r="B30" s="8" t="s">
        <v>37</v>
      </c>
      <c r="C30" s="9">
        <v>173.33</v>
      </c>
      <c r="D30" s="20">
        <v>0.33</v>
      </c>
      <c r="E30" s="10">
        <v>0.45</v>
      </c>
      <c r="F30" s="21">
        <v>0.9</v>
      </c>
      <c r="G30" s="11">
        <v>0.010385</v>
      </c>
      <c r="H30" s="38">
        <v>0.01375</v>
      </c>
      <c r="I30" s="22" t="s">
        <v>24</v>
      </c>
      <c r="J30" s="22" t="s">
        <v>25</v>
      </c>
    </row>
    <row r="31" spans="1:10" ht="15">
      <c r="A31" s="4" t="s">
        <v>49</v>
      </c>
      <c r="B31" s="4">
        <f>B17*Stuðlar!$A$5</f>
        <v>233045.80075999995</v>
      </c>
      <c r="C31" s="4">
        <f>B31/$C$5</f>
        <v>1344.5208605550104</v>
      </c>
      <c r="D31" s="4">
        <f>C31*Stuðlar!$A$14</f>
        <v>443.69188398315345</v>
      </c>
      <c r="E31" s="4">
        <f>C31*Stuðlar!$A$15</f>
        <v>605.0343872497547</v>
      </c>
      <c r="F31" s="4">
        <f>C31*Stuðlar!$A$16</f>
        <v>1210.0687744995093</v>
      </c>
      <c r="G31" s="4">
        <f>B31*$G$5</f>
        <v>2420.1806408925995</v>
      </c>
      <c r="H31" s="4">
        <f>B31*$H$5</f>
        <v>3204.3797604499996</v>
      </c>
      <c r="I31" s="24">
        <f>B31+(50*D31)+(50*E31)+(9*G31)</f>
        <v>307263.74008967873</v>
      </c>
      <c r="J31" s="24">
        <f>B31+(61*D31)+(50*E31)+(9*G31)</f>
        <v>312144.3508134934</v>
      </c>
    </row>
    <row r="32" spans="1:10" ht="15">
      <c r="A32" s="4" t="s">
        <v>50</v>
      </c>
      <c r="B32" s="4">
        <f>B18*Stuðlar!$A$5</f>
        <v>237813.27824999997</v>
      </c>
      <c r="C32" s="4">
        <f>B32/$C$5</f>
        <v>1372.0260673282176</v>
      </c>
      <c r="D32" s="4">
        <f>C32*Stuðlar!$A$14</f>
        <v>452.7686022183118</v>
      </c>
      <c r="E32" s="4">
        <f>C32*Stuðlar!$A$15</f>
        <v>617.4117302976979</v>
      </c>
      <c r="F32" s="4">
        <f>C32*Stuðlar!$A$16</f>
        <v>1234.8234605953958</v>
      </c>
      <c r="G32" s="4">
        <f>B32*$G$5</f>
        <v>2469.6908946262497</v>
      </c>
      <c r="H32" s="4">
        <f>B32*$H$5</f>
        <v>3269.9325759374997</v>
      </c>
      <c r="I32" s="24">
        <f>B32+(50*D32)+(50*E32)+(9*G32)</f>
        <v>313549.5129274367</v>
      </c>
      <c r="J32" s="24">
        <f>B32+(61*D32)+(50*E32)+(9*G32)</f>
        <v>318529.96755183814</v>
      </c>
    </row>
    <row r="33" spans="9:10" ht="15">
      <c r="I33" s="25"/>
      <c r="J33" s="25"/>
    </row>
    <row r="34" spans="1:10" s="5" customFormat="1" ht="15">
      <c r="A34" s="5" t="s">
        <v>31</v>
      </c>
      <c r="I34" s="37"/>
      <c r="J34" s="37"/>
    </row>
    <row r="35" spans="1:10" ht="15.75" thickBot="1">
      <c r="A35" s="29"/>
      <c r="B35" s="29">
        <f>B21*Stuðlar!$A$5</f>
        <v>265024.64748</v>
      </c>
      <c r="C35" s="29">
        <f>B35/$C$5</f>
        <v>1529.0177550337505</v>
      </c>
      <c r="D35" s="29">
        <f>C35*Stuðlar!$A$14</f>
        <v>504.5758591611377</v>
      </c>
      <c r="E35" s="29">
        <f>C35*Stuðlar!$A$15</f>
        <v>688.0579897651877</v>
      </c>
      <c r="F35" s="29">
        <f>C35*Stuðlar!$A$16</f>
        <v>1376.1159795303754</v>
      </c>
      <c r="G35" s="29">
        <f>B35*$G$5</f>
        <v>2752.2809640798</v>
      </c>
      <c r="H35" s="29">
        <f>B35*$H$5</f>
        <v>3644.0889028499996</v>
      </c>
      <c r="I35" s="30">
        <f>B35+(50*D35)+(50*E35)+(9*G35)</f>
        <v>349426.86860303447</v>
      </c>
      <c r="J35" s="30">
        <f>B35+(61*D35)+(50*E35)+(9*G35)</f>
        <v>354977.20305380697</v>
      </c>
    </row>
    <row r="36" ht="15.75" thickTop="1"/>
    <row r="38" spans="1:8" ht="15">
      <c r="A38" s="26"/>
      <c r="B38" s="26"/>
      <c r="C38" s="26"/>
      <c r="D38" s="32" t="s">
        <v>57</v>
      </c>
      <c r="E38" s="32" t="s">
        <v>58</v>
      </c>
      <c r="F38" s="32" t="s">
        <v>59</v>
      </c>
      <c r="G38" s="32" t="s">
        <v>60</v>
      </c>
      <c r="H38" s="32" t="s">
        <v>61</v>
      </c>
    </row>
    <row r="39" spans="1:8" ht="15">
      <c r="A39" s="31" t="s">
        <v>62</v>
      </c>
      <c r="B39" s="26"/>
      <c r="C39" s="26"/>
      <c r="D39" s="28">
        <v>3919</v>
      </c>
      <c r="E39" s="28">
        <v>3919</v>
      </c>
      <c r="F39" s="27"/>
      <c r="G39" s="28">
        <f>Stuðlar!K31</f>
        <v>1465.7982624888748</v>
      </c>
      <c r="H39" s="28">
        <f>Stuðlar!L31</f>
        <v>6352.905453520499</v>
      </c>
    </row>
    <row r="40" spans="1:6" ht="15">
      <c r="A40" s="26" t="s">
        <v>63</v>
      </c>
      <c r="C40" s="27">
        <v>2008</v>
      </c>
      <c r="D40" s="28">
        <v>24300</v>
      </c>
      <c r="E40" s="28"/>
      <c r="F40" s="26"/>
    </row>
    <row r="41" spans="1:8" ht="15">
      <c r="A41" s="26" t="s">
        <v>64</v>
      </c>
      <c r="C41" s="27">
        <v>2008</v>
      </c>
      <c r="D41" s="28">
        <v>44000</v>
      </c>
      <c r="E41" s="28"/>
      <c r="F41" s="26"/>
      <c r="G41" s="26"/>
      <c r="H41" s="26"/>
    </row>
    <row r="44" spans="1:10" ht="21">
      <c r="A44" s="71" t="s">
        <v>38</v>
      </c>
      <c r="B44" s="71"/>
      <c r="C44" s="71"/>
      <c r="D44" s="71"/>
      <c r="E44" s="71"/>
      <c r="F44" s="71"/>
      <c r="G44" s="71"/>
      <c r="H44" s="71"/>
      <c r="I44" s="71"/>
      <c r="J44" s="71"/>
    </row>
    <row r="45" s="5" customFormat="1" ht="15">
      <c r="A45" s="5" t="s">
        <v>39</v>
      </c>
    </row>
    <row r="46" spans="3:10" ht="15">
      <c r="C46" s="7" t="s">
        <v>20</v>
      </c>
      <c r="D46" s="65" t="s">
        <v>46</v>
      </c>
      <c r="E46" s="66"/>
      <c r="F46" s="67"/>
      <c r="G46" s="7" t="s">
        <v>21</v>
      </c>
      <c r="H46" s="7" t="s">
        <v>22</v>
      </c>
      <c r="I46" s="68" t="s">
        <v>45</v>
      </c>
      <c r="J46" s="68"/>
    </row>
    <row r="47" spans="2:10" ht="15">
      <c r="B47" s="8" t="s">
        <v>37</v>
      </c>
      <c r="C47" s="9">
        <v>173.33</v>
      </c>
      <c r="D47" s="20">
        <v>0.33</v>
      </c>
      <c r="E47" s="10">
        <v>0.45</v>
      </c>
      <c r="F47" s="21">
        <v>0.9</v>
      </c>
      <c r="G47" s="11">
        <v>0.010385</v>
      </c>
      <c r="H47" s="38">
        <v>0.01375</v>
      </c>
      <c r="I47" s="22" t="s">
        <v>24</v>
      </c>
      <c r="J47" s="22" t="s">
        <v>25</v>
      </c>
    </row>
    <row r="48" spans="9:10" ht="15">
      <c r="I48" s="24"/>
      <c r="J48" s="24"/>
    </row>
    <row r="49" spans="1:10" ht="15">
      <c r="A49" s="4" t="s">
        <v>40</v>
      </c>
      <c r="B49" s="4">
        <v>89372</v>
      </c>
      <c r="C49" s="4">
        <f>B49/$C$5</f>
        <v>515.6176080309236</v>
      </c>
      <c r="D49" s="4">
        <f>C49*Stuðlar!$A$14</f>
        <v>170.1538106502048</v>
      </c>
      <c r="E49" s="4">
        <f>C49*Stuðlar!$A$15</f>
        <v>232.02792361391565</v>
      </c>
      <c r="F49" s="4">
        <f>C49*Stuðlar!$A$16</f>
        <v>464.0558472278313</v>
      </c>
      <c r="G49" s="4">
        <v>1031.2519522945</v>
      </c>
      <c r="H49" s="4">
        <f>H50</f>
        <v>1365.4025</v>
      </c>
      <c r="I49" s="24">
        <f>B49+(50*D49)+(50*E49)+(9*G49)</f>
        <v>118762.35428385652</v>
      </c>
      <c r="J49" s="24">
        <f>B49+(61*D49)+(50*E49)+(9*G49)</f>
        <v>120634.04620100876</v>
      </c>
    </row>
    <row r="50" spans="1:10" ht="15">
      <c r="A50" s="4" t="s">
        <v>41</v>
      </c>
      <c r="B50" s="4">
        <v>99302</v>
      </c>
      <c r="C50" s="4">
        <f>B50/$C$5</f>
        <v>572.9071712917556</v>
      </c>
      <c r="D50" s="4">
        <f>C50*Stuðlar!$A$14</f>
        <v>189.05936652627938</v>
      </c>
      <c r="E50" s="4">
        <f>C50*Stuðlar!$A$15</f>
        <v>257.80822708129006</v>
      </c>
      <c r="F50" s="4">
        <f>C50*Stuðlar!$A$16</f>
        <v>515.6164541625801</v>
      </c>
      <c r="G50" s="4">
        <f>B50*$G$5</f>
        <v>1031.25127</v>
      </c>
      <c r="H50" s="4">
        <f>B50*$H$5</f>
        <v>1365.4025</v>
      </c>
      <c r="I50" s="24">
        <f>B50+(50*D50)+(50*E50)+(9*G50)</f>
        <v>130926.64111037848</v>
      </c>
      <c r="J50" s="24">
        <f>B50+(61*D50)+(50*E50)+(9*G50)</f>
        <v>133006.29414216755</v>
      </c>
    </row>
    <row r="51" spans="1:10" ht="15">
      <c r="A51" s="4" t="s">
        <v>42</v>
      </c>
      <c r="B51" s="4">
        <v>119162</v>
      </c>
      <c r="C51" s="4">
        <f>B51/$C$5</f>
        <v>687.4862978134195</v>
      </c>
      <c r="D51" s="4">
        <f>C51*Stuðlar!$A$14</f>
        <v>226.87047827842844</v>
      </c>
      <c r="E51" s="4">
        <f>C51*Stuðlar!$A$15</f>
        <v>309.36883401603876</v>
      </c>
      <c r="F51" s="4">
        <f>C51*Stuðlar!$A$16</f>
        <v>618.7376680320775</v>
      </c>
      <c r="G51" s="4">
        <f>B51*$G$5</f>
        <v>1237.49737</v>
      </c>
      <c r="H51" s="4">
        <f>B51*$H$5</f>
        <v>1638.4775</v>
      </c>
      <c r="I51" s="24">
        <f>B51+(50*D51)+(50*E51)+(9*G51)</f>
        <v>157111.44194472337</v>
      </c>
      <c r="J51" s="24">
        <f>B51+(61*D51)+(50*E51)+(9*G51)</f>
        <v>159607.0172057861</v>
      </c>
    </row>
    <row r="52" spans="1:10" ht="15.75" thickBot="1">
      <c r="A52" s="29" t="s">
        <v>43</v>
      </c>
      <c r="B52" s="29">
        <v>129093</v>
      </c>
      <c r="C52" s="29">
        <f>B52/$C$5</f>
        <v>744.7816304159695</v>
      </c>
      <c r="D52" s="29">
        <f>C52*Stuðlar!$A$14</f>
        <v>245.77793803726996</v>
      </c>
      <c r="E52" s="29">
        <f>C52*Stuðlar!$A$15</f>
        <v>335.15173368718627</v>
      </c>
      <c r="F52" s="29">
        <f>C52*Stuðlar!$A$16</f>
        <v>670.3034673743725</v>
      </c>
      <c r="G52" s="29">
        <f>B52*$G$5</f>
        <v>1340.630805</v>
      </c>
      <c r="H52" s="29">
        <f>B52*$H$5</f>
        <v>1775.02875</v>
      </c>
      <c r="I52" s="30">
        <f>B52+(50*D52)+(50*E52)+(9*G52)</f>
        <v>170205.16083122283</v>
      </c>
      <c r="J52" s="30">
        <f>B52+(61*D52)+(50*E52)+(9*G52)</f>
        <v>172908.7181496328</v>
      </c>
    </row>
    <row r="53" spans="1:10" ht="15.75" thickTop="1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ht="15">
      <c r="A54" s="5" t="s">
        <v>44</v>
      </c>
    </row>
    <row r="55" spans="3:10" ht="15">
      <c r="C55" s="7" t="s">
        <v>20</v>
      </c>
      <c r="D55" s="65" t="s">
        <v>46</v>
      </c>
      <c r="E55" s="66"/>
      <c r="F55" s="67"/>
      <c r="G55" s="7" t="s">
        <v>21</v>
      </c>
      <c r="H55" s="7" t="s">
        <v>22</v>
      </c>
      <c r="I55" s="68" t="s">
        <v>45</v>
      </c>
      <c r="J55" s="68"/>
    </row>
    <row r="56" spans="2:10" ht="15">
      <c r="B56" s="8" t="s">
        <v>37</v>
      </c>
      <c r="C56" s="9">
        <v>173.33</v>
      </c>
      <c r="D56" s="20">
        <v>0.33</v>
      </c>
      <c r="E56" s="10">
        <v>0.45</v>
      </c>
      <c r="F56" s="21">
        <v>0.9</v>
      </c>
      <c r="G56" s="11">
        <v>0.010385</v>
      </c>
      <c r="H56" s="38">
        <v>0.01375</v>
      </c>
      <c r="I56" s="22" t="s">
        <v>24</v>
      </c>
      <c r="J56" s="22" t="s">
        <v>25</v>
      </c>
    </row>
    <row r="57" spans="1:10" ht="15">
      <c r="A57" s="4" t="s">
        <v>55</v>
      </c>
      <c r="B57" s="15">
        <v>89372</v>
      </c>
      <c r="C57" s="4">
        <f>B57/$C$5</f>
        <v>515.6176080309236</v>
      </c>
      <c r="D57" s="4">
        <f>C57*Stuðlar!$A$14</f>
        <v>170.1538106502048</v>
      </c>
      <c r="E57" s="4">
        <f>C57*Stuðlar!$A$15</f>
        <v>232.02792361391565</v>
      </c>
      <c r="F57" s="4">
        <f>C57*Stuðlar!$A$16</f>
        <v>464.0558472278313</v>
      </c>
      <c r="G57" s="4">
        <v>1031.2519522945</v>
      </c>
      <c r="H57" s="4">
        <f>H58</f>
        <v>1365.4025</v>
      </c>
      <c r="I57" s="24">
        <f>B57+(50*D57)+(50*E57)+(9*G57)</f>
        <v>118762.35428385652</v>
      </c>
      <c r="J57" s="24">
        <f>B57+(61*D57)+(50*E57)+(9*G57)</f>
        <v>120634.04620100876</v>
      </c>
    </row>
    <row r="58" spans="1:10" ht="15">
      <c r="A58" s="4" t="s">
        <v>41</v>
      </c>
      <c r="B58" s="15">
        <v>99302</v>
      </c>
      <c r="C58" s="4">
        <f>B58/$C$5</f>
        <v>572.9071712917556</v>
      </c>
      <c r="D58" s="4">
        <f>C58*Stuðlar!$A$14</f>
        <v>189.05936652627938</v>
      </c>
      <c r="E58" s="4">
        <f>C58*Stuðlar!$A$15</f>
        <v>257.80822708129006</v>
      </c>
      <c r="F58" s="4">
        <f>C58*Stuðlar!$A$16</f>
        <v>515.6164541625801</v>
      </c>
      <c r="G58" s="4">
        <f>B58*$G$5</f>
        <v>1031.25127</v>
      </c>
      <c r="H58" s="4">
        <f>B58*$H$5</f>
        <v>1365.4025</v>
      </c>
      <c r="I58" s="24">
        <f>B58+(50*D58)+(50*E58)+(9*G58)</f>
        <v>130926.64111037848</v>
      </c>
      <c r="J58" s="24">
        <f>B58+(61*D58)+(50*E58)+(9*G58)</f>
        <v>133006.29414216755</v>
      </c>
    </row>
    <row r="59" spans="1:10" ht="15.75" thickBot="1">
      <c r="A59" s="29" t="s">
        <v>42</v>
      </c>
      <c r="B59" s="36">
        <v>124128</v>
      </c>
      <c r="C59" s="29">
        <f>B59/$C$5</f>
        <v>716.1368487855535</v>
      </c>
      <c r="D59" s="29">
        <f>C59*Stuðlar!$A$14</f>
        <v>236.32516009923268</v>
      </c>
      <c r="E59" s="29">
        <f>C59*Stuðlar!$A$15</f>
        <v>322.2615819534991</v>
      </c>
      <c r="F59" s="29">
        <f>C59*Stuðlar!$A$16</f>
        <v>644.5231639069982</v>
      </c>
      <c r="G59" s="29">
        <f>B59*$G$5</f>
        <v>1289.06928</v>
      </c>
      <c r="H59" s="29">
        <f>B59*$H$5</f>
        <v>1706.76</v>
      </c>
      <c r="I59" s="30">
        <f>B59+(50*D59)+(50*E59)+(9*G59)</f>
        <v>163658.96062263657</v>
      </c>
      <c r="J59" s="30">
        <f>B59+(61*D59)+(50*E59)+(9*G59)</f>
        <v>166258.53738372814</v>
      </c>
    </row>
    <row r="60" spans="9:10" ht="15.75" thickTop="1">
      <c r="I60" s="25"/>
      <c r="J60" s="25"/>
    </row>
    <row r="62" spans="4:8" ht="15">
      <c r="D62" s="5" t="s">
        <v>57</v>
      </c>
      <c r="E62" s="5" t="s">
        <v>58</v>
      </c>
      <c r="F62" s="5" t="s">
        <v>59</v>
      </c>
      <c r="G62" s="5" t="s">
        <v>60</v>
      </c>
      <c r="H62" s="5" t="s">
        <v>61</v>
      </c>
    </row>
    <row r="63" spans="1:8" ht="15">
      <c r="A63" s="5" t="s">
        <v>62</v>
      </c>
      <c r="D63" s="4">
        <v>3919</v>
      </c>
      <c r="E63" s="4">
        <v>3919</v>
      </c>
      <c r="G63" s="4">
        <v>1465.7982624888748</v>
      </c>
      <c r="H63" s="4">
        <v>6352.905453520499</v>
      </c>
    </row>
    <row r="64" spans="1:5" ht="15">
      <c r="A64" s="4" t="s">
        <v>63</v>
      </c>
      <c r="D64" s="34">
        <v>2008</v>
      </c>
      <c r="E64" s="35">
        <v>24300</v>
      </c>
    </row>
    <row r="65" spans="1:5" ht="15">
      <c r="A65" s="4" t="s">
        <v>64</v>
      </c>
      <c r="D65" s="4">
        <v>2008</v>
      </c>
      <c r="E65" s="35">
        <v>44000</v>
      </c>
    </row>
    <row r="66" ht="15">
      <c r="A66" s="4" t="s">
        <v>65</v>
      </c>
    </row>
  </sheetData>
  <sheetProtection/>
  <mergeCells count="12">
    <mergeCell ref="D55:F55"/>
    <mergeCell ref="I55:J55"/>
    <mergeCell ref="A44:J44"/>
    <mergeCell ref="I4:J4"/>
    <mergeCell ref="D4:F4"/>
    <mergeCell ref="D29:F29"/>
    <mergeCell ref="I29:J29"/>
    <mergeCell ref="D14:F14"/>
    <mergeCell ref="I14:J14"/>
    <mergeCell ref="A1:J1"/>
    <mergeCell ref="D46:F46"/>
    <mergeCell ref="I46:J46"/>
  </mergeCells>
  <printOptions/>
  <pageMargins left="0.75" right="0.75" top="1" bottom="1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I46" sqref="I46"/>
    </sheetView>
  </sheetViews>
  <sheetFormatPr defaultColWidth="11.421875" defaultRowHeight="15"/>
  <cols>
    <col min="1" max="1" width="11.421875" style="4" customWidth="1"/>
    <col min="2" max="2" width="8.00390625" style="4" customWidth="1"/>
    <col min="3" max="4" width="6.421875" style="4" bestFit="1" customWidth="1"/>
    <col min="5" max="6" width="6.421875" style="4" customWidth="1"/>
    <col min="7" max="7" width="7.8515625" style="4" customWidth="1"/>
    <col min="8" max="8" width="9.00390625" style="4" customWidth="1"/>
    <col min="9" max="9" width="11.421875" style="4" customWidth="1"/>
    <col min="10" max="10" width="8.8515625" style="4" customWidth="1"/>
    <col min="11" max="16384" width="11.421875" style="4" customWidth="1"/>
  </cols>
  <sheetData>
    <row r="1" spans="1:10" ht="23.25">
      <c r="A1" s="70" t="s">
        <v>66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3.2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4" ht="15">
      <c r="A3" s="5" t="s">
        <v>26</v>
      </c>
      <c r="B3" s="5"/>
      <c r="C3" s="5"/>
      <c r="D3" s="5"/>
    </row>
    <row r="4" spans="1:10" ht="15">
      <c r="A4" s="6"/>
      <c r="B4" s="6"/>
      <c r="C4" s="7" t="s">
        <v>20</v>
      </c>
      <c r="D4" s="65" t="s">
        <v>46</v>
      </c>
      <c r="E4" s="72"/>
      <c r="F4" s="73"/>
      <c r="G4" s="7" t="s">
        <v>21</v>
      </c>
      <c r="H4" s="7" t="s">
        <v>22</v>
      </c>
      <c r="I4" s="74" t="s">
        <v>45</v>
      </c>
      <c r="J4" s="75"/>
    </row>
    <row r="5" spans="1:10" ht="15">
      <c r="A5" s="8"/>
      <c r="B5" s="8" t="s">
        <v>23</v>
      </c>
      <c r="C5" s="9">
        <v>173.33</v>
      </c>
      <c r="D5" s="20">
        <v>0.33</v>
      </c>
      <c r="E5" s="10">
        <v>0.45</v>
      </c>
      <c r="F5" s="21">
        <v>0.9</v>
      </c>
      <c r="G5" s="11">
        <v>0.010385</v>
      </c>
      <c r="H5" s="12">
        <v>0.01375</v>
      </c>
      <c r="I5" s="22" t="s">
        <v>24</v>
      </c>
      <c r="J5" s="22" t="s">
        <v>25</v>
      </c>
    </row>
    <row r="6" spans="1:10" ht="15">
      <c r="A6" s="4" t="s">
        <v>48</v>
      </c>
      <c r="B6" s="4">
        <f>B16*0.79</f>
        <v>163809.763806</v>
      </c>
      <c r="C6" s="4">
        <f>B6/$C$5</f>
        <v>945.0745041596954</v>
      </c>
      <c r="D6" s="4">
        <f>C6*Stuðlar!$A$14</f>
        <v>311.87458637269947</v>
      </c>
      <c r="E6" s="4">
        <f>C6*Stuðlar!$A$15</f>
        <v>425.28352687186293</v>
      </c>
      <c r="F6" s="4">
        <f>C6*Stuðlar!$A$16</f>
        <v>850.5670537437259</v>
      </c>
      <c r="G6" s="4">
        <f>B6*$G$5</f>
        <v>1701.16439712531</v>
      </c>
      <c r="H6" s="4">
        <f>B6*$H$5</f>
        <v>2252.3842523325</v>
      </c>
      <c r="I6" s="24">
        <f>B6+(50*D6)+(50*E6)+(9*G6)</f>
        <v>215978.14904235592</v>
      </c>
      <c r="J6" s="24">
        <f>B6+(61*D6)+(50*E6)+(9*G6)</f>
        <v>219408.76949245558</v>
      </c>
    </row>
    <row r="7" spans="1:10" s="5" customFormat="1" ht="15">
      <c r="A7" s="5" t="s">
        <v>47</v>
      </c>
      <c r="I7" s="23"/>
      <c r="J7" s="23"/>
    </row>
    <row r="8" spans="1:10" ht="15">
      <c r="A8" s="4" t="s">
        <v>1</v>
      </c>
      <c r="B8" s="4">
        <f>B16*0.9</f>
        <v>186618.71826</v>
      </c>
      <c r="C8" s="4">
        <f>B8/$C$5</f>
        <v>1076.6671566376276</v>
      </c>
      <c r="D8" s="4">
        <f>C8*Stuðlar!$A$14</f>
        <v>355.30016169041716</v>
      </c>
      <c r="E8" s="4">
        <f>C8*Stuðlar!$A$15</f>
        <v>484.50022048693245</v>
      </c>
      <c r="F8" s="4">
        <f>C8*Stuðlar!$A$16</f>
        <v>969.0004409738649</v>
      </c>
      <c r="G8" s="4">
        <f>B8*$G$5</f>
        <v>1938.0353891301</v>
      </c>
      <c r="H8" s="4">
        <f>B8*$H$5</f>
        <v>2566.007376075</v>
      </c>
      <c r="I8" s="24">
        <f>B8+(50*D8)+(50*E8)+(9*G8)</f>
        <v>246051.0558710384</v>
      </c>
      <c r="J8" s="24">
        <f>B8+(61*D8)+(50*E8)+(9*G8)</f>
        <v>249959.357649633</v>
      </c>
    </row>
    <row r="9" spans="1:10" ht="15">
      <c r="A9" s="4" t="s">
        <v>49</v>
      </c>
      <c r="B9" s="4">
        <f>B17*0.9</f>
        <v>190258.67015999998</v>
      </c>
      <c r="C9" s="4">
        <f>B9/$C$5</f>
        <v>1097.6672829862111</v>
      </c>
      <c r="D9" s="4">
        <f>C9*Stuðlar!$A$14</f>
        <v>362.23020338544967</v>
      </c>
      <c r="E9" s="4">
        <f>C9*Stuðlar!$A$15</f>
        <v>493.95027734379505</v>
      </c>
      <c r="F9" s="4">
        <f>C9*Stuðlar!$A$16</f>
        <v>987.9005546875901</v>
      </c>
      <c r="G9" s="4">
        <f>B9*$G$5</f>
        <v>1975.8362896115998</v>
      </c>
      <c r="H9" s="4">
        <f>B9*$H$5</f>
        <v>2616.0567146999997</v>
      </c>
      <c r="I9" s="24">
        <f>B9+(50*D9)+(50*E9)+(9*G9)</f>
        <v>250850.22080296662</v>
      </c>
      <c r="J9" s="24">
        <f>B9+(61*D9)+(50*E9)+(9*G9)</f>
        <v>254834.75304020656</v>
      </c>
    </row>
    <row r="10" spans="1:10" s="5" customFormat="1" ht="15">
      <c r="A10" s="5" t="s">
        <v>27</v>
      </c>
      <c r="I10" s="6"/>
      <c r="J10" s="6"/>
    </row>
    <row r="11" spans="1:10" ht="15.75" thickBot="1">
      <c r="A11" s="29"/>
      <c r="B11" s="29">
        <f>Stuðlar!E5+Stuðlar!I8</f>
        <v>196779</v>
      </c>
      <c r="C11" s="29"/>
      <c r="D11" s="29"/>
      <c r="E11" s="29"/>
      <c r="F11" s="29"/>
      <c r="G11" s="29"/>
      <c r="H11" s="29"/>
      <c r="I11" s="29"/>
      <c r="J11" s="29"/>
    </row>
    <row r="12" spans="9:10" ht="15.75" thickTop="1">
      <c r="I12" s="25"/>
      <c r="J12" s="25"/>
    </row>
    <row r="13" spans="1:10" s="5" customFormat="1" ht="15">
      <c r="A13" s="5" t="s">
        <v>28</v>
      </c>
      <c r="I13" s="6"/>
      <c r="J13" s="6"/>
    </row>
    <row r="14" spans="3:10" s="5" customFormat="1" ht="15">
      <c r="C14" s="7" t="s">
        <v>20</v>
      </c>
      <c r="D14" s="65" t="s">
        <v>46</v>
      </c>
      <c r="E14" s="72"/>
      <c r="F14" s="73"/>
      <c r="G14" s="7" t="s">
        <v>21</v>
      </c>
      <c r="H14" s="7" t="s">
        <v>22</v>
      </c>
      <c r="I14" s="74" t="s">
        <v>45</v>
      </c>
      <c r="J14" s="75"/>
    </row>
    <row r="15" spans="2:10" s="5" customFormat="1" ht="15">
      <c r="B15" s="8" t="s">
        <v>23</v>
      </c>
      <c r="C15" s="9">
        <v>173.33</v>
      </c>
      <c r="D15" s="20">
        <v>0.33</v>
      </c>
      <c r="E15" s="10">
        <v>0.45</v>
      </c>
      <c r="F15" s="21">
        <v>0.9</v>
      </c>
      <c r="G15" s="11">
        <v>0.010385</v>
      </c>
      <c r="H15" s="12">
        <v>0.01375</v>
      </c>
      <c r="I15" s="22" t="s">
        <v>24</v>
      </c>
      <c r="J15" s="22" t="s">
        <v>25</v>
      </c>
    </row>
    <row r="16" spans="1:10" ht="15">
      <c r="A16" s="4" t="s">
        <v>1</v>
      </c>
      <c r="B16" s="4">
        <f>Stuðlar!E6+Stuðlar!$I$6+Stuðlar!$I$8</f>
        <v>207354.13139999998</v>
      </c>
      <c r="C16" s="4">
        <f>B16/$C$5</f>
        <v>1196.296840708475</v>
      </c>
      <c r="D16" s="4">
        <f>C16*Stuðlar!$A$14</f>
        <v>394.77795743379676</v>
      </c>
      <c r="E16" s="4">
        <f>C16*Stuðlar!$A$15</f>
        <v>538.3335783188138</v>
      </c>
      <c r="F16" s="4">
        <f>C16*Stuðlar!$A$16</f>
        <v>1076.6671566376276</v>
      </c>
      <c r="G16" s="4">
        <f>B16*$G$5</f>
        <v>2153.372654589</v>
      </c>
      <c r="H16" s="4">
        <f>B16*$H$5</f>
        <v>2851.11930675</v>
      </c>
      <c r="I16" s="24">
        <f>B16+(50*D16)+(50*E16)+(9*G16)</f>
        <v>273390.0620789315</v>
      </c>
      <c r="J16" s="24">
        <f>B16+(61*D16)+(50*E16)+(9*G16)</f>
        <v>277732.6196107033</v>
      </c>
    </row>
    <row r="17" spans="1:10" ht="15">
      <c r="A17" s="4" t="s">
        <v>49</v>
      </c>
      <c r="B17" s="4">
        <f>Stuðlar!E7+Stuðlar!$I$6+Stuðlar!$I$8</f>
        <v>211398.5224</v>
      </c>
      <c r="C17" s="4">
        <f>B17/$C$5</f>
        <v>1219.6303144291235</v>
      </c>
      <c r="D17" s="4">
        <f>C17*Stuðlar!$A$14</f>
        <v>402.47800376161075</v>
      </c>
      <c r="E17" s="4">
        <f>C17*Stuðlar!$A$15</f>
        <v>548.8336414931056</v>
      </c>
      <c r="F17" s="4">
        <f>C17*Stuðlar!$A$16</f>
        <v>1097.6672829862111</v>
      </c>
      <c r="G17" s="4">
        <f>B17*$G$5</f>
        <v>2195.373655124</v>
      </c>
      <c r="H17" s="4">
        <f>B17*$H$5</f>
        <v>2906.729683</v>
      </c>
      <c r="I17" s="24">
        <f>B17+(50*D17)+(50*E17)+(9*G17)</f>
        <v>278722.4675588518</v>
      </c>
      <c r="J17" s="24">
        <f>B17+(61*D17)+(50*E17)+(9*G17)</f>
        <v>283149.7256002295</v>
      </c>
    </row>
    <row r="18" spans="1:10" ht="15">
      <c r="A18" s="4" t="s">
        <v>50</v>
      </c>
      <c r="B18" s="4">
        <f>Stuðlar!E8+Stuðlar!$I$6+Stuðlar!$I$8</f>
        <v>215544.155</v>
      </c>
      <c r="C18" s="4">
        <f>B18/$C$5</f>
        <v>1243.5478855362603</v>
      </c>
      <c r="D18" s="4">
        <f>C18*Stuðlar!$A$14</f>
        <v>410.3708022269659</v>
      </c>
      <c r="E18" s="4">
        <f>C18*Stuðlar!$A$15</f>
        <v>559.5965484913172</v>
      </c>
      <c r="F18" s="4">
        <f>C18*Stuðlar!$A$16</f>
        <v>1119.1930969826344</v>
      </c>
      <c r="G18" s="4">
        <f>B18*$G$5</f>
        <v>2238.426049675</v>
      </c>
      <c r="H18" s="4">
        <f>B18*$H$5</f>
        <v>2963.73213125</v>
      </c>
      <c r="I18" s="24">
        <f>B18+(50*D18)+(50*E18)+(9*G18)</f>
        <v>284188.3569829891</v>
      </c>
      <c r="J18" s="24">
        <f>B18+(61*D18)+(50*E18)+(9*G18)</f>
        <v>288702.4358074858</v>
      </c>
    </row>
    <row r="19" ht="15">
      <c r="L19" s="2"/>
    </row>
    <row r="20" s="5" customFormat="1" ht="15">
      <c r="A20" s="5" t="s">
        <v>31</v>
      </c>
    </row>
    <row r="21" spans="1:10" ht="15.75" thickBot="1">
      <c r="A21" s="29"/>
      <c r="B21" s="29">
        <f>Stuðlar!E9+Stuðlar!I6+Stuðlar!I8</f>
        <v>239206.2152</v>
      </c>
      <c r="C21" s="29">
        <f>B21/$C$5</f>
        <v>1380.0623965845496</v>
      </c>
      <c r="D21" s="29">
        <f>C21*Stuðlar!$A$14</f>
        <v>455.42059087290136</v>
      </c>
      <c r="E21" s="29">
        <f>C21*Stuðlar!$A$15</f>
        <v>621.0280784630473</v>
      </c>
      <c r="F21" s="29">
        <f>C21*Stuðlar!$A$16</f>
        <v>1242.0561569260947</v>
      </c>
      <c r="G21" s="29">
        <f>B21*$G$5</f>
        <v>2484.156544852</v>
      </c>
      <c r="H21" s="29">
        <f>B21*$H$5</f>
        <v>3289.085459</v>
      </c>
      <c r="I21" s="29">
        <f>B21+(50*D21)+(50*E21)+(9*G21)</f>
        <v>315386.05757046543</v>
      </c>
      <c r="J21" s="29">
        <f>B21+(61*D21)+(50*E21)+(9*G21)</f>
        <v>320395.68407006736</v>
      </c>
    </row>
    <row r="22" ht="15.75" thickTop="1"/>
    <row r="23" s="5" customFormat="1" ht="15">
      <c r="A23" s="5" t="s">
        <v>32</v>
      </c>
    </row>
    <row r="24" ht="15">
      <c r="A24" s="4" t="s">
        <v>33</v>
      </c>
    </row>
    <row r="25" ht="15">
      <c r="A25" s="4" t="s">
        <v>69</v>
      </c>
    </row>
    <row r="26" ht="15">
      <c r="A26" s="4" t="s">
        <v>70</v>
      </c>
    </row>
    <row r="27" ht="15">
      <c r="A27" s="4" t="s">
        <v>71</v>
      </c>
    </row>
    <row r="28" spans="1:4" ht="15">
      <c r="A28" s="5" t="s">
        <v>28</v>
      </c>
      <c r="B28" s="5"/>
      <c r="C28" s="5"/>
      <c r="D28" s="5"/>
    </row>
    <row r="29" spans="3:10" ht="15">
      <c r="C29" s="7" t="s">
        <v>20</v>
      </c>
      <c r="D29" s="65" t="s">
        <v>46</v>
      </c>
      <c r="E29" s="72"/>
      <c r="F29" s="73"/>
      <c r="G29" s="7" t="s">
        <v>21</v>
      </c>
      <c r="H29" s="7" t="s">
        <v>22</v>
      </c>
      <c r="I29" s="74" t="s">
        <v>45</v>
      </c>
      <c r="J29" s="75"/>
    </row>
    <row r="30" spans="1:10" s="5" customFormat="1" ht="15">
      <c r="A30" s="8"/>
      <c r="B30" s="8" t="s">
        <v>23</v>
      </c>
      <c r="C30" s="9">
        <v>173.33</v>
      </c>
      <c r="D30" s="20">
        <v>0.33</v>
      </c>
      <c r="E30" s="10">
        <v>0.45</v>
      </c>
      <c r="F30" s="21">
        <v>0.9</v>
      </c>
      <c r="G30" s="11">
        <v>0.010385</v>
      </c>
      <c r="H30" s="12">
        <v>0.01375</v>
      </c>
      <c r="I30" s="22" t="s">
        <v>24</v>
      </c>
      <c r="J30" s="22" t="s">
        <v>25</v>
      </c>
    </row>
    <row r="31" spans="1:10" ht="15">
      <c r="A31" s="4" t="s">
        <v>49</v>
      </c>
      <c r="B31" s="4">
        <f>B17*Stuðlar!$A$5</f>
        <v>243108.30075999995</v>
      </c>
      <c r="C31" s="4">
        <f>B31/$C$5</f>
        <v>1402.5748615934917</v>
      </c>
      <c r="D31" s="4">
        <f>C31*Stuðlar!$A$14</f>
        <v>462.8497043258523</v>
      </c>
      <c r="E31" s="4">
        <f>C31*Stuðlar!$A$15</f>
        <v>631.1586877170713</v>
      </c>
      <c r="F31" s="4">
        <f>C31*Stuðlar!$A$16</f>
        <v>1262.3173754341426</v>
      </c>
      <c r="G31" s="4">
        <f>B31*$G$5</f>
        <v>2524.6797033925995</v>
      </c>
      <c r="H31" s="4">
        <f>B31*$H$5</f>
        <v>3342.7391354499996</v>
      </c>
      <c r="I31" s="24">
        <f>B31+(50*D31)+(50*E31)+(9*G31)</f>
        <v>320530.83769267955</v>
      </c>
      <c r="J31" s="24">
        <f>B31+(61*D31)+(50*E31)+(9*G31)</f>
        <v>325622.18444026395</v>
      </c>
    </row>
    <row r="32" spans="1:10" ht="15">
      <c r="A32" s="4" t="s">
        <v>50</v>
      </c>
      <c r="B32" s="4">
        <f>B18*Stuðlar!$A$5</f>
        <v>247875.77824999997</v>
      </c>
      <c r="C32" s="4">
        <f>B32/$C$5</f>
        <v>1430.0800683666992</v>
      </c>
      <c r="D32" s="4">
        <f>C32*Stuðlar!$A$14</f>
        <v>471.9264225610107</v>
      </c>
      <c r="E32" s="4">
        <f>C32*Stuðlar!$A$15</f>
        <v>643.5360307650146</v>
      </c>
      <c r="F32" s="4">
        <f>C32*Stuðlar!$A$16</f>
        <v>1287.0720615300293</v>
      </c>
      <c r="G32" s="4">
        <f>B32*$G$5</f>
        <v>2574.1899571262497</v>
      </c>
      <c r="H32" s="4">
        <f>B32*$H$5</f>
        <v>3408.2919509374997</v>
      </c>
      <c r="I32" s="24">
        <f>B32+(50*D32)+(50*E32)+(9*G32)</f>
        <v>326816.61053043755</v>
      </c>
      <c r="J32" s="24">
        <f>B32+(61*D32)+(50*E32)+(9*G32)</f>
        <v>332007.8011786087</v>
      </c>
    </row>
    <row r="33" spans="9:10" ht="15">
      <c r="I33" s="25"/>
      <c r="J33" s="25"/>
    </row>
    <row r="34" spans="1:11" s="5" customFormat="1" ht="15">
      <c r="A34" s="5" t="s">
        <v>31</v>
      </c>
      <c r="I34" s="44"/>
      <c r="J34" s="6"/>
      <c r="K34" s="6"/>
    </row>
    <row r="35" spans="1:10" ht="15.75" thickBot="1">
      <c r="A35" s="29"/>
      <c r="B35" s="29">
        <f>B21*Stuðlar!$A$5</f>
        <v>275087.14748</v>
      </c>
      <c r="C35" s="29">
        <f>B35/$C$5</f>
        <v>1587.071756072232</v>
      </c>
      <c r="D35" s="29">
        <f>C35*Stuðlar!$A$14</f>
        <v>523.7336795038366</v>
      </c>
      <c r="E35" s="29">
        <f>C35*Stuðlar!$A$15</f>
        <v>714.1822902325043</v>
      </c>
      <c r="F35" s="29">
        <f>C35*Stuðlar!$A$16</f>
        <v>1428.3645804650087</v>
      </c>
      <c r="G35" s="29">
        <f>B35*$G$5</f>
        <v>2856.7800265798</v>
      </c>
      <c r="H35" s="29">
        <f>B35*$H$5</f>
        <v>3782.4482778499996</v>
      </c>
      <c r="I35" s="30">
        <f>B35+(50*D35)+(50*E35)+(9*G35)</f>
        <v>362693.9662060352</v>
      </c>
      <c r="J35" s="30">
        <f>B35+(61*D35)+(50*E35)+(9*G35)</f>
        <v>368455.03668057744</v>
      </c>
    </row>
    <row r="36" ht="15.75" thickTop="1"/>
    <row r="38" spans="1:8" ht="15">
      <c r="A38" s="26"/>
      <c r="B38" s="26"/>
      <c r="C38" s="26"/>
      <c r="D38" s="32" t="s">
        <v>57</v>
      </c>
      <c r="E38" s="32" t="s">
        <v>58</v>
      </c>
      <c r="F38" s="32" t="s">
        <v>59</v>
      </c>
      <c r="G38" s="32" t="s">
        <v>60</v>
      </c>
      <c r="H38" s="32" t="s">
        <v>61</v>
      </c>
    </row>
    <row r="39" spans="1:8" ht="15">
      <c r="A39" s="31" t="s">
        <v>62</v>
      </c>
      <c r="B39" s="26"/>
      <c r="C39" s="26"/>
      <c r="D39" s="28">
        <v>4074</v>
      </c>
      <c r="E39" s="28">
        <v>4074</v>
      </c>
      <c r="F39" s="27"/>
      <c r="G39" s="28">
        <v>1523</v>
      </c>
      <c r="H39" s="28">
        <v>6599</v>
      </c>
    </row>
    <row r="40" spans="1:14" ht="15">
      <c r="A40" s="26" t="s">
        <v>68</v>
      </c>
      <c r="C40" s="27">
        <v>2009</v>
      </c>
      <c r="D40" s="28">
        <f>Stuðlar!C23</f>
        <v>25000</v>
      </c>
      <c r="E40" s="28"/>
      <c r="F40" s="26"/>
      <c r="N40" s="45"/>
    </row>
    <row r="41" spans="1:8" ht="15">
      <c r="A41" s="26" t="s">
        <v>64</v>
      </c>
      <c r="C41" s="27">
        <v>2009</v>
      </c>
      <c r="D41" s="28">
        <f>Stuðlar!C27</f>
        <v>45500</v>
      </c>
      <c r="E41" s="28"/>
      <c r="F41" s="26"/>
      <c r="G41" s="26"/>
      <c r="H41" s="26"/>
    </row>
    <row r="42" spans="1:8" ht="15">
      <c r="A42" s="26"/>
      <c r="C42" s="27"/>
      <c r="D42" s="28"/>
      <c r="E42" s="28"/>
      <c r="F42" s="26"/>
      <c r="G42" s="26"/>
      <c r="H42" s="26"/>
    </row>
    <row r="43" spans="1:8" ht="15">
      <c r="A43" s="26"/>
      <c r="C43" s="27"/>
      <c r="D43" s="28"/>
      <c r="E43" s="28"/>
      <c r="F43" s="26"/>
      <c r="G43" s="26"/>
      <c r="H43" s="26"/>
    </row>
    <row r="44" spans="1:8" ht="15">
      <c r="A44" s="26"/>
      <c r="C44" s="27"/>
      <c r="D44" s="28"/>
      <c r="E44" s="28"/>
      <c r="F44" s="26"/>
      <c r="G44" s="26"/>
      <c r="H44" s="26"/>
    </row>
    <row r="45" spans="1:8" ht="15">
      <c r="A45" s="26"/>
      <c r="C45" s="27"/>
      <c r="D45" s="28"/>
      <c r="E45" s="28"/>
      <c r="F45" s="26"/>
      <c r="G45" s="26"/>
      <c r="H45" s="26"/>
    </row>
    <row r="49" spans="1:10" ht="21">
      <c r="A49" s="71" t="s">
        <v>72</v>
      </c>
      <c r="B49" s="71"/>
      <c r="C49" s="71"/>
      <c r="D49" s="71"/>
      <c r="E49" s="71"/>
      <c r="F49" s="71"/>
      <c r="G49" s="71"/>
      <c r="H49" s="71"/>
      <c r="I49" s="71"/>
      <c r="J49" s="71"/>
    </row>
    <row r="51" s="5" customFormat="1" ht="15">
      <c r="A51" s="5" t="s">
        <v>39</v>
      </c>
    </row>
    <row r="52" spans="3:9" ht="15">
      <c r="C52" s="7" t="s">
        <v>20</v>
      </c>
      <c r="D52" s="65" t="s">
        <v>46</v>
      </c>
      <c r="E52" s="66"/>
      <c r="F52" s="67"/>
      <c r="G52" s="7" t="s">
        <v>21</v>
      </c>
      <c r="H52" s="68" t="s">
        <v>45</v>
      </c>
      <c r="I52" s="68"/>
    </row>
    <row r="53" spans="2:9" ht="15">
      <c r="B53" s="8" t="s">
        <v>37</v>
      </c>
      <c r="C53" s="9">
        <v>173.33</v>
      </c>
      <c r="D53" s="20">
        <v>0.33</v>
      </c>
      <c r="E53" s="10">
        <v>0.45</v>
      </c>
      <c r="F53" s="21">
        <v>0.9</v>
      </c>
      <c r="G53" s="11">
        <v>0.010385</v>
      </c>
      <c r="H53" s="22" t="s">
        <v>24</v>
      </c>
      <c r="I53" s="22" t="s">
        <v>25</v>
      </c>
    </row>
    <row r="54" spans="8:9" ht="15">
      <c r="H54" s="24"/>
      <c r="I54" s="24"/>
    </row>
    <row r="55" spans="1:9" ht="15">
      <c r="A55" s="4" t="s">
        <v>40</v>
      </c>
      <c r="B55" s="4">
        <f>89372+Stuðlar!$J$8</f>
        <v>96122</v>
      </c>
      <c r="C55" s="4">
        <f>B55/$C$5</f>
        <v>554.5606646281659</v>
      </c>
      <c r="D55" s="4">
        <f>C55*Stuðlar!$A$14</f>
        <v>183.00501932729475</v>
      </c>
      <c r="E55" s="4">
        <f>C55*Stuðlar!$A$15</f>
        <v>249.55229908267466</v>
      </c>
      <c r="F55" s="4">
        <f>C55*Stuðlar!$A$16</f>
        <v>499.10459816534933</v>
      </c>
      <c r="G55" s="4">
        <v>1031.2519522945</v>
      </c>
      <c r="H55" s="24">
        <f>B55+(50*D55)+(50*E55)+(9*G55)</f>
        <v>127031.13349114897</v>
      </c>
      <c r="I55" s="24">
        <f>B55+(61*D55)+(50*E55)+(9*G55)</f>
        <v>129044.18870374921</v>
      </c>
    </row>
    <row r="56" spans="1:9" ht="15">
      <c r="A56" s="4" t="s">
        <v>41</v>
      </c>
      <c r="B56" s="4">
        <f>99302+Stuðlar!J8</f>
        <v>106052</v>
      </c>
      <c r="C56" s="4">
        <f>B56/$C$5</f>
        <v>611.8502278889978</v>
      </c>
      <c r="D56" s="4">
        <f>C56*Stuðlar!$A$14</f>
        <v>201.91057520336926</v>
      </c>
      <c r="E56" s="4">
        <f>C56*Stuðlar!$A$15</f>
        <v>275.332602550049</v>
      </c>
      <c r="F56" s="4">
        <f>C56*Stuðlar!$A$16</f>
        <v>550.665205100098</v>
      </c>
      <c r="G56" s="4">
        <f>B56*$G$5</f>
        <v>1101.35002</v>
      </c>
      <c r="H56" s="24">
        <f>B56+(50*D56)+(50*E56)+(9*G56)</f>
        <v>139826.30906767093</v>
      </c>
      <c r="I56" s="24">
        <f>B56+(61*D56)+(50*E56)+(9*G56)</f>
        <v>142047.32539490797</v>
      </c>
    </row>
    <row r="57" spans="1:9" ht="15">
      <c r="A57" s="4" t="s">
        <v>42</v>
      </c>
      <c r="B57" s="4">
        <f>119162+Stuðlar!J8</f>
        <v>125912</v>
      </c>
      <c r="C57" s="4">
        <f>B57/$C$5</f>
        <v>726.4293544106617</v>
      </c>
      <c r="D57" s="4">
        <f>C57*Stuðlar!$A$14</f>
        <v>239.72168695551838</v>
      </c>
      <c r="E57" s="4">
        <f>C57*Stuðlar!$A$15</f>
        <v>326.8932094847978</v>
      </c>
      <c r="F57" s="4">
        <f>C57*Stuðlar!$A$16</f>
        <v>653.7864189695956</v>
      </c>
      <c r="G57" s="4">
        <f>B57*$G$5</f>
        <v>1307.59612</v>
      </c>
      <c r="H57" s="24">
        <f>B57+(50*D57)+(50*E57)+(9*G57)</f>
        <v>166011.10990201577</v>
      </c>
      <c r="I57" s="24">
        <f>B57+(61*D57)+(50*E57)+(9*G57)</f>
        <v>168648.0484585265</v>
      </c>
    </row>
    <row r="58" spans="1:9" ht="15.75" thickBot="1">
      <c r="A58" s="29" t="s">
        <v>43</v>
      </c>
      <c r="B58" s="29">
        <f>129093+Stuðlar!J8</f>
        <v>135843</v>
      </c>
      <c r="C58" s="29">
        <f>B58/$C$5</f>
        <v>783.7246870132118</v>
      </c>
      <c r="D58" s="29">
        <f>C58*Stuðlar!$A$14</f>
        <v>258.6291467143599</v>
      </c>
      <c r="E58" s="29">
        <f>C58*Stuðlar!$A$15</f>
        <v>352.6761091559453</v>
      </c>
      <c r="F58" s="29">
        <f>C58*Stuðlar!$A$16</f>
        <v>705.3522183118906</v>
      </c>
      <c r="G58" s="29">
        <f>B58*$G$5</f>
        <v>1410.7295550000001</v>
      </c>
      <c r="H58" s="30">
        <f>B58+(50*D58)+(50*E58)+(9*G58)</f>
        <v>179104.8287885153</v>
      </c>
      <c r="I58" s="30">
        <f>B58+(61*D58)+(50*E58)+(9*G58)</f>
        <v>181949.7494023732</v>
      </c>
    </row>
    <row r="59" spans="1:9" ht="15.75" thickTop="1">
      <c r="A59" s="25"/>
      <c r="B59" s="25"/>
      <c r="C59" s="25"/>
      <c r="D59" s="25"/>
      <c r="E59" s="25"/>
      <c r="F59" s="25"/>
      <c r="G59" s="25"/>
      <c r="H59" s="25"/>
      <c r="I59" s="25"/>
    </row>
    <row r="60" ht="15">
      <c r="A60" s="5" t="s">
        <v>44</v>
      </c>
    </row>
    <row r="61" spans="3:9" ht="15">
      <c r="C61" s="7" t="s">
        <v>20</v>
      </c>
      <c r="D61" s="40" t="s">
        <v>46</v>
      </c>
      <c r="E61" s="41"/>
      <c r="F61" s="42"/>
      <c r="G61" s="7" t="s">
        <v>21</v>
      </c>
      <c r="H61" s="43" t="s">
        <v>45</v>
      </c>
      <c r="I61" s="43"/>
    </row>
    <row r="62" spans="2:9" ht="15">
      <c r="B62" s="8" t="s">
        <v>37</v>
      </c>
      <c r="C62" s="9">
        <v>173.33</v>
      </c>
      <c r="D62" s="20">
        <v>0.33</v>
      </c>
      <c r="E62" s="10">
        <v>0.45</v>
      </c>
      <c r="F62" s="21">
        <v>0.9</v>
      </c>
      <c r="G62" s="11">
        <v>0.010385</v>
      </c>
      <c r="H62" s="22" t="s">
        <v>24</v>
      </c>
      <c r="I62" s="22" t="s">
        <v>25</v>
      </c>
    </row>
    <row r="63" spans="1:9" ht="15">
      <c r="A63" s="4" t="s">
        <v>55</v>
      </c>
      <c r="B63" s="15">
        <f>89372+Stuðlar!J8</f>
        <v>96122</v>
      </c>
      <c r="C63" s="4">
        <f>B63/$C$5</f>
        <v>554.5606646281659</v>
      </c>
      <c r="D63" s="4">
        <f>C63*Stuðlar!$A$14</f>
        <v>183.00501932729475</v>
      </c>
      <c r="E63" s="4">
        <f>C63*Stuðlar!$A$15</f>
        <v>249.55229908267466</v>
      </c>
      <c r="F63" s="4">
        <f>C63*Stuðlar!$A$16</f>
        <v>499.10459816534933</v>
      </c>
      <c r="G63" s="4">
        <v>1031.2519522945</v>
      </c>
      <c r="H63" s="24">
        <f>B63+(50*D63)+(50*E63)+(9*G63)</f>
        <v>127031.13349114897</v>
      </c>
      <c r="I63" s="24">
        <f>B63+(61*D63)+(50*E63)+(9*G63)</f>
        <v>129044.18870374921</v>
      </c>
    </row>
    <row r="64" spans="1:9" ht="15">
      <c r="A64" s="4" t="s">
        <v>41</v>
      </c>
      <c r="B64" s="15">
        <f>99302+Stuðlar!J8</f>
        <v>106052</v>
      </c>
      <c r="C64" s="4">
        <f>B64/$C$5</f>
        <v>611.8502278889978</v>
      </c>
      <c r="D64" s="4">
        <f>C64*Stuðlar!$A$14</f>
        <v>201.91057520336926</v>
      </c>
      <c r="E64" s="4">
        <f>C64*Stuðlar!$A$15</f>
        <v>275.332602550049</v>
      </c>
      <c r="F64" s="4">
        <f>C64*Stuðlar!$A$16</f>
        <v>550.665205100098</v>
      </c>
      <c r="G64" s="4">
        <f>B64*$G$5</f>
        <v>1101.35002</v>
      </c>
      <c r="H64" s="24">
        <f>B64+(50*D64)+(50*E64)+(9*G64)</f>
        <v>139826.30906767093</v>
      </c>
      <c r="I64" s="24">
        <f>B64+(61*D64)+(50*E64)+(9*G64)</f>
        <v>142047.32539490797</v>
      </c>
    </row>
    <row r="65" spans="1:9" ht="15.75" thickBot="1">
      <c r="A65" s="29" t="s">
        <v>42</v>
      </c>
      <c r="B65" s="36">
        <f>124128+Stuðlar!J8</f>
        <v>130878</v>
      </c>
      <c r="C65" s="29">
        <f>B65/$C$5</f>
        <v>755.0799053827958</v>
      </c>
      <c r="D65" s="29">
        <f>C65*Stuðlar!$A$14</f>
        <v>249.17636877632262</v>
      </c>
      <c r="E65" s="29">
        <f>C65*Stuðlar!$A$15</f>
        <v>339.7859574222581</v>
      </c>
      <c r="F65" s="29">
        <f>C65*Stuðlar!$A$16</f>
        <v>679.5719148445162</v>
      </c>
      <c r="G65" s="29">
        <f>B65*$G$5</f>
        <v>1359.16803</v>
      </c>
      <c r="H65" s="30">
        <f>B65+(50*D65)+(50*E65)+(9*G65)</f>
        <v>172558.62857992903</v>
      </c>
      <c r="I65" s="30">
        <f>B65+(61*D65)+(50*E65)+(9*G65)</f>
        <v>175299.56863646858</v>
      </c>
    </row>
    <row r="66" spans="9:10" ht="15.75" thickTop="1">
      <c r="I66" s="25"/>
      <c r="J66" s="25"/>
    </row>
    <row r="67" spans="4:8" ht="15">
      <c r="D67" s="5" t="s">
        <v>57</v>
      </c>
      <c r="E67" s="5" t="s">
        <v>58</v>
      </c>
      <c r="F67" s="5" t="s">
        <v>59</v>
      </c>
      <c r="G67" s="5" t="s">
        <v>60</v>
      </c>
      <c r="H67" s="5" t="s">
        <v>61</v>
      </c>
    </row>
    <row r="68" spans="1:8" ht="15">
      <c r="A68" s="5" t="s">
        <v>62</v>
      </c>
      <c r="D68" s="4">
        <v>4074</v>
      </c>
      <c r="E68" s="4">
        <v>4074</v>
      </c>
      <c r="G68" s="4">
        <v>1523</v>
      </c>
      <c r="H68" s="4">
        <v>6599</v>
      </c>
    </row>
    <row r="69" spans="1:5" ht="15">
      <c r="A69" s="4" t="s">
        <v>63</v>
      </c>
      <c r="D69" s="34">
        <v>2008</v>
      </c>
      <c r="E69" s="35">
        <v>24300</v>
      </c>
    </row>
    <row r="70" spans="1:5" ht="15">
      <c r="A70" s="4" t="s">
        <v>64</v>
      </c>
      <c r="D70" s="4">
        <v>2008</v>
      </c>
      <c r="E70" s="35">
        <v>44000</v>
      </c>
    </row>
    <row r="71" ht="15">
      <c r="A71" s="4" t="s">
        <v>65</v>
      </c>
    </row>
  </sheetData>
  <sheetProtection/>
  <mergeCells count="10">
    <mergeCell ref="A49:J49"/>
    <mergeCell ref="D52:F52"/>
    <mergeCell ref="H52:I52"/>
    <mergeCell ref="A1:J1"/>
    <mergeCell ref="D4:F4"/>
    <mergeCell ref="I4:J4"/>
    <mergeCell ref="D14:F14"/>
    <mergeCell ref="I14:J14"/>
    <mergeCell ref="D29:F29"/>
    <mergeCell ref="I29:J29"/>
  </mergeCells>
  <printOptions/>
  <pageMargins left="0.75" right="0.75" top="1" bottom="1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46">
      <selection activeCell="L55" sqref="L55"/>
    </sheetView>
  </sheetViews>
  <sheetFormatPr defaultColWidth="11.421875" defaultRowHeight="15"/>
  <cols>
    <col min="1" max="1" width="11.421875" style="4" customWidth="1"/>
    <col min="2" max="2" width="8.00390625" style="4" customWidth="1"/>
    <col min="3" max="4" width="6.421875" style="4" bestFit="1" customWidth="1"/>
    <col min="5" max="6" width="6.421875" style="4" customWidth="1"/>
    <col min="7" max="7" width="7.8515625" style="4" customWidth="1"/>
    <col min="8" max="8" width="9.00390625" style="4" customWidth="1"/>
    <col min="9" max="9" width="11.421875" style="4" customWidth="1"/>
    <col min="10" max="10" width="8.8515625" style="4" customWidth="1"/>
    <col min="11" max="16384" width="11.421875" style="4" customWidth="1"/>
  </cols>
  <sheetData>
    <row r="1" spans="1:10" ht="23.25">
      <c r="A1" s="70" t="s">
        <v>74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3.2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4" ht="15">
      <c r="A3" s="5" t="s">
        <v>73</v>
      </c>
      <c r="B3" s="5"/>
      <c r="C3" s="5"/>
      <c r="D3" s="5"/>
    </row>
    <row r="4" spans="1:10" ht="15">
      <c r="A4" s="6"/>
      <c r="B4" s="6"/>
      <c r="C4" s="7" t="s">
        <v>20</v>
      </c>
      <c r="D4" s="65" t="s">
        <v>46</v>
      </c>
      <c r="E4" s="72"/>
      <c r="F4" s="73"/>
      <c r="G4" s="7" t="s">
        <v>21</v>
      </c>
      <c r="H4" s="7" t="s">
        <v>22</v>
      </c>
      <c r="I4" s="74" t="s">
        <v>45</v>
      </c>
      <c r="J4" s="75"/>
    </row>
    <row r="5" spans="1:10" ht="15">
      <c r="A5" s="8"/>
      <c r="B5" s="8" t="s">
        <v>23</v>
      </c>
      <c r="C5" s="9">
        <v>173.33</v>
      </c>
      <c r="D5" s="20">
        <v>0.33</v>
      </c>
      <c r="E5" s="10">
        <v>0.45</v>
      </c>
      <c r="F5" s="21">
        <v>0.9</v>
      </c>
      <c r="G5" s="11">
        <v>0.010385</v>
      </c>
      <c r="H5" s="12">
        <v>0.011375</v>
      </c>
      <c r="I5" s="22" t="s">
        <v>24</v>
      </c>
      <c r="J5" s="22" t="s">
        <v>25</v>
      </c>
    </row>
    <row r="6" spans="1:10" ht="15">
      <c r="A6" s="4" t="s">
        <v>48</v>
      </c>
      <c r="B6" s="4">
        <f>B16*0.79</f>
        <v>170722.263806</v>
      </c>
      <c r="C6" s="4">
        <f>B6/$C$5</f>
        <v>984.9550787861305</v>
      </c>
      <c r="D6" s="4">
        <f>C6*Stuðlar!$A$14</f>
        <v>325.0351759994231</v>
      </c>
      <c r="E6" s="4">
        <f>C6*Stuðlar!$A$15</f>
        <v>443.2297854537587</v>
      </c>
      <c r="F6" s="4">
        <f>C6*Stuðlar!$A$16</f>
        <v>886.4595709075174</v>
      </c>
      <c r="G6" s="4">
        <f>B6*$G$5</f>
        <v>1772.95070962531</v>
      </c>
      <c r="H6" s="4">
        <f>B6*$H$5</f>
        <v>1941.96575079325</v>
      </c>
      <c r="I6" s="24">
        <f>B6+(50*D6)+(50*E6)+(9*G6)</f>
        <v>225092.06826528686</v>
      </c>
      <c r="J6" s="24">
        <f>B6+(61*D6)+(50*E6)+(9*G6)</f>
        <v>228667.45520128054</v>
      </c>
    </row>
    <row r="7" spans="1:10" s="5" customFormat="1" ht="15">
      <c r="A7" s="5" t="s">
        <v>47</v>
      </c>
      <c r="I7" s="23"/>
      <c r="J7" s="23"/>
    </row>
    <row r="8" spans="1:10" ht="15">
      <c r="A8" s="4" t="s">
        <v>1</v>
      </c>
      <c r="B8" s="4">
        <f>B16*0.9</f>
        <v>194493.71826</v>
      </c>
      <c r="C8" s="4">
        <f>B8/$C$5</f>
        <v>1122.1007226677434</v>
      </c>
      <c r="D8" s="4">
        <f>C8*Stuðlar!$A$14</f>
        <v>370.29323848035534</v>
      </c>
      <c r="E8" s="4">
        <f>C8*Stuðlar!$A$15</f>
        <v>504.94532520048455</v>
      </c>
      <c r="F8" s="4">
        <f>C8*Stuðlar!$A$16</f>
        <v>1009.8906504009691</v>
      </c>
      <c r="G8" s="4">
        <f>B8*$G$5</f>
        <v>2019.8172641301</v>
      </c>
      <c r="H8" s="4">
        <f>B8*$H$5</f>
        <v>2212.3660452075</v>
      </c>
      <c r="I8" s="24">
        <f>B8+(50*D8)+(50*E8)+(9*G8)</f>
        <v>256434.00182121288</v>
      </c>
      <c r="J8" s="24">
        <f>B8+(61*D8)+(50*E8)+(9*G8)</f>
        <v>260507.2274444968</v>
      </c>
    </row>
    <row r="9" spans="1:10" ht="15">
      <c r="A9" s="4" t="s">
        <v>49</v>
      </c>
      <c r="B9" s="4">
        <f>B17*0.9</f>
        <v>198133.67015999998</v>
      </c>
      <c r="C9" s="4">
        <f>B9/$C$5</f>
        <v>1143.100849016327</v>
      </c>
      <c r="D9" s="4">
        <f>C9*Stuðlar!$A$14</f>
        <v>377.2232801753879</v>
      </c>
      <c r="E9" s="4">
        <f>C9*Stuðlar!$A$15</f>
        <v>514.3953820573471</v>
      </c>
      <c r="F9" s="4">
        <f>C9*Stuðlar!$A$16</f>
        <v>1028.7907641146942</v>
      </c>
      <c r="G9" s="4">
        <f>B9*$G$5</f>
        <v>2057.6181646115997</v>
      </c>
      <c r="H9" s="4">
        <f>B9*$H$5</f>
        <v>2253.7704980699996</v>
      </c>
      <c r="I9" s="24">
        <f>B9+(50*D9)+(50*E9)+(9*G9)</f>
        <v>261233.1667531411</v>
      </c>
      <c r="J9" s="24">
        <f>B9+(61*D9)+(50*E9)+(9*G9)</f>
        <v>265382.62283507036</v>
      </c>
    </row>
    <row r="10" spans="1:10" s="5" customFormat="1" ht="15">
      <c r="A10" s="5" t="s">
        <v>27</v>
      </c>
      <c r="I10" s="6"/>
      <c r="J10" s="6"/>
    </row>
    <row r="11" spans="1:10" ht="15.75" thickBot="1">
      <c r="A11" s="29"/>
      <c r="B11" s="29">
        <f>Stuðlar!E5+Stuðlar!I8+Stuðlar!I9</f>
        <v>205529</v>
      </c>
      <c r="C11" s="29"/>
      <c r="D11" s="29"/>
      <c r="E11" s="29"/>
      <c r="F11" s="29"/>
      <c r="G11" s="29"/>
      <c r="H11" s="29"/>
      <c r="I11" s="29"/>
      <c r="J11" s="29"/>
    </row>
    <row r="12" spans="9:10" ht="15.75" thickTop="1">
      <c r="I12" s="25"/>
      <c r="J12" s="25"/>
    </row>
    <row r="13" spans="1:10" s="5" customFormat="1" ht="15">
      <c r="A13" s="5" t="s">
        <v>28</v>
      </c>
      <c r="I13" s="6"/>
      <c r="J13" s="6"/>
    </row>
    <row r="14" spans="3:10" s="5" customFormat="1" ht="15">
      <c r="C14" s="7" t="s">
        <v>20</v>
      </c>
      <c r="D14" s="65" t="s">
        <v>46</v>
      </c>
      <c r="E14" s="72"/>
      <c r="F14" s="73"/>
      <c r="G14" s="7" t="s">
        <v>21</v>
      </c>
      <c r="H14" s="7" t="s">
        <v>22</v>
      </c>
      <c r="I14" s="74" t="s">
        <v>45</v>
      </c>
      <c r="J14" s="75"/>
    </row>
    <row r="15" spans="2:10" s="5" customFormat="1" ht="15">
      <c r="B15" s="8" t="s">
        <v>23</v>
      </c>
      <c r="C15" s="9">
        <v>173.33</v>
      </c>
      <c r="D15" s="20">
        <v>0.33</v>
      </c>
      <c r="E15" s="10">
        <v>0.45</v>
      </c>
      <c r="F15" s="21">
        <v>0.9</v>
      </c>
      <c r="G15" s="11">
        <v>0.010385</v>
      </c>
      <c r="H15" s="12">
        <v>0.011375</v>
      </c>
      <c r="I15" s="22" t="s">
        <v>24</v>
      </c>
      <c r="J15" s="22" t="s">
        <v>25</v>
      </c>
    </row>
    <row r="16" spans="1:10" ht="15">
      <c r="A16" s="4" t="s">
        <v>1</v>
      </c>
      <c r="B16" s="4">
        <f>Stuðlar!E6+Stuðlar!$I$6+Stuðlar!$I$8+Stuðlar!$I$9</f>
        <v>216104.13139999998</v>
      </c>
      <c r="C16" s="4">
        <f>B16/$C$5</f>
        <v>1246.778580741937</v>
      </c>
      <c r="D16" s="4">
        <f>C16*Stuðlar!$A$14</f>
        <v>411.43693164483926</v>
      </c>
      <c r="E16" s="4">
        <f>C16*Stuðlar!$A$15</f>
        <v>561.0503613338717</v>
      </c>
      <c r="F16" s="4">
        <f>C16*Stuðlar!$A$16</f>
        <v>1122.1007226677434</v>
      </c>
      <c r="G16" s="4">
        <f>B16*$G$5</f>
        <v>2244.241404589</v>
      </c>
      <c r="H16" s="4">
        <f>B16*$H$5</f>
        <v>2458.1844946749998</v>
      </c>
      <c r="I16" s="24">
        <f>B16+(50*D16)+(50*E16)+(9*G16)</f>
        <v>284926.6686902365</v>
      </c>
      <c r="J16" s="24">
        <f>B16+(61*D16)+(50*E16)+(9*G16)</f>
        <v>289452.4749383298</v>
      </c>
    </row>
    <row r="17" spans="1:10" ht="15">
      <c r="A17" s="4" t="s">
        <v>49</v>
      </c>
      <c r="B17" s="4">
        <f>Stuðlar!E7+Stuðlar!$I$6+Stuðlar!$I$8+Stuðlar!$I$9</f>
        <v>220148.5224</v>
      </c>
      <c r="C17" s="4">
        <f>B17/$C$5</f>
        <v>1270.1120544625855</v>
      </c>
      <c r="D17" s="4">
        <f>C17*Stuðlar!$A$14</f>
        <v>419.13697797265326</v>
      </c>
      <c r="E17" s="4">
        <f>C17*Stuðlar!$A$15</f>
        <v>571.5504245081635</v>
      </c>
      <c r="F17" s="4">
        <f>C17*Stuðlar!$A$16</f>
        <v>1143.100849016327</v>
      </c>
      <c r="G17" s="4">
        <f>B17*$G$5</f>
        <v>2286.242405124</v>
      </c>
      <c r="H17" s="4">
        <f>B17*$H$5</f>
        <v>2504.1894423</v>
      </c>
      <c r="I17" s="24">
        <f>B17+(50*D17)+(50*E17)+(9*G17)</f>
        <v>290259.07417015685</v>
      </c>
      <c r="J17" s="24">
        <f>B17+(61*D17)+(50*E17)+(9*G17)</f>
        <v>294869.58092785603</v>
      </c>
    </row>
    <row r="18" spans="1:10" ht="15">
      <c r="A18" s="4" t="s">
        <v>50</v>
      </c>
      <c r="B18" s="4">
        <f>Stuðlar!E8+Stuðlar!$I$6+Stuðlar!$I$8+Stuðlar!$I$9</f>
        <v>224294.155</v>
      </c>
      <c r="C18" s="4">
        <f>B18/$C$5</f>
        <v>1294.0296255697224</v>
      </c>
      <c r="D18" s="4">
        <f>C18*Stuðlar!$A$14</f>
        <v>427.0297764380084</v>
      </c>
      <c r="E18" s="4">
        <f>C18*Stuðlar!$A$15</f>
        <v>582.3133315063751</v>
      </c>
      <c r="F18" s="4">
        <f>C18*Stuðlar!$A$16</f>
        <v>1164.6266630127502</v>
      </c>
      <c r="G18" s="4">
        <f>B18*$G$5</f>
        <v>2329.294799675</v>
      </c>
      <c r="H18" s="4">
        <f>B18*$H$5</f>
        <v>2551.346013125</v>
      </c>
      <c r="I18" s="24">
        <f>B18+(50*D18)+(50*E18)+(9*G18)</f>
        <v>295724.96359429415</v>
      </c>
      <c r="J18" s="24">
        <f>B18+(61*D18)+(50*E18)+(9*G18)</f>
        <v>300422.2911351123</v>
      </c>
    </row>
    <row r="19" ht="15">
      <c r="L19" s="2"/>
    </row>
    <row r="20" s="5" customFormat="1" ht="15">
      <c r="A20" s="5" t="s">
        <v>31</v>
      </c>
    </row>
    <row r="21" spans="1:10" ht="15.75" thickBot="1">
      <c r="A21" s="29"/>
      <c r="B21" s="29">
        <f>Stuðlar!E9+Stuðlar!I6+Stuðlar!I8+Stuðlar!I9</f>
        <v>247956.2152</v>
      </c>
      <c r="C21" s="29">
        <f>B21/$C$5</f>
        <v>1430.5441366180119</v>
      </c>
      <c r="D21" s="29">
        <f>C21*Stuðlar!$A$14</f>
        <v>472.0795650839439</v>
      </c>
      <c r="E21" s="29">
        <f>C21*Stuðlar!$A$15</f>
        <v>643.7448614781053</v>
      </c>
      <c r="F21" s="29">
        <f>C21*Stuðlar!$A$16</f>
        <v>1287.4897229562107</v>
      </c>
      <c r="G21" s="29">
        <f>B21*$G$5</f>
        <v>2575.025294852</v>
      </c>
      <c r="H21" s="29">
        <f>B21*$H$5</f>
        <v>2820.5019479</v>
      </c>
      <c r="I21" s="29">
        <f>B21+(50*D21)+(50*E21)+(9*G21)</f>
        <v>326922.6641817705</v>
      </c>
      <c r="J21" s="29">
        <f>B21+(61*D21)+(50*E21)+(9*G21)</f>
        <v>332115.5393976938</v>
      </c>
    </row>
    <row r="22" ht="15.75" thickTop="1"/>
    <row r="23" s="5" customFormat="1" ht="15">
      <c r="A23" s="5" t="s">
        <v>32</v>
      </c>
    </row>
    <row r="24" ht="15">
      <c r="A24" s="4" t="s">
        <v>33</v>
      </c>
    </row>
    <row r="25" ht="15">
      <c r="A25" s="4" t="s">
        <v>69</v>
      </c>
    </row>
    <row r="26" ht="15">
      <c r="A26" s="4" t="s">
        <v>70</v>
      </c>
    </row>
    <row r="27" ht="15">
      <c r="A27" s="4" t="s">
        <v>71</v>
      </c>
    </row>
    <row r="28" spans="1:4" ht="15">
      <c r="A28" s="5" t="s">
        <v>28</v>
      </c>
      <c r="B28" s="5"/>
      <c r="C28" s="5"/>
      <c r="D28" s="5"/>
    </row>
    <row r="29" spans="3:10" ht="15">
      <c r="C29" s="7" t="s">
        <v>20</v>
      </c>
      <c r="D29" s="65" t="s">
        <v>46</v>
      </c>
      <c r="E29" s="72"/>
      <c r="F29" s="73"/>
      <c r="G29" s="7" t="s">
        <v>21</v>
      </c>
      <c r="H29" s="7" t="s">
        <v>22</v>
      </c>
      <c r="I29" s="74" t="s">
        <v>45</v>
      </c>
      <c r="J29" s="75"/>
    </row>
    <row r="30" spans="1:10" s="5" customFormat="1" ht="15">
      <c r="A30" s="8"/>
      <c r="B30" s="8" t="s">
        <v>23</v>
      </c>
      <c r="C30" s="9">
        <v>173.33</v>
      </c>
      <c r="D30" s="20">
        <v>0.33</v>
      </c>
      <c r="E30" s="10">
        <v>0.45</v>
      </c>
      <c r="F30" s="21">
        <v>0.9</v>
      </c>
      <c r="G30" s="11">
        <v>0.010385</v>
      </c>
      <c r="H30" s="12">
        <v>0.011375</v>
      </c>
      <c r="I30" s="22" t="s">
        <v>24</v>
      </c>
      <c r="J30" s="22" t="s">
        <v>25</v>
      </c>
    </row>
    <row r="31" spans="1:10" ht="15">
      <c r="A31" s="4" t="s">
        <v>49</v>
      </c>
      <c r="B31" s="4">
        <f>B17*Stuðlar!$A$5</f>
        <v>253170.80075999995</v>
      </c>
      <c r="C31" s="4">
        <f>B31/$C$5</f>
        <v>1460.6288626319733</v>
      </c>
      <c r="D31" s="4">
        <f>C31*Stuðlar!$A$14</f>
        <v>482.00752466855124</v>
      </c>
      <c r="E31" s="4">
        <f>C31*Stuðlar!$A$15</f>
        <v>657.282988184388</v>
      </c>
      <c r="F31" s="4">
        <f>C31*Stuðlar!$A$16</f>
        <v>1314.565976368776</v>
      </c>
      <c r="G31" s="4">
        <f>B31*$G$5</f>
        <v>2629.1787658925996</v>
      </c>
      <c r="H31" s="4">
        <f>B31*$H$5</f>
        <v>2879.8178586449994</v>
      </c>
      <c r="I31" s="24">
        <f>B31+(50*D31)+(50*E31)+(9*G31)</f>
        <v>333797.9352956803</v>
      </c>
      <c r="J31" s="24">
        <f>B31+(61*D31)+(50*E31)+(9*G31)</f>
        <v>339100.01806703437</v>
      </c>
    </row>
    <row r="32" spans="1:10" ht="15">
      <c r="A32" s="4" t="s">
        <v>50</v>
      </c>
      <c r="B32" s="4">
        <f>B18*Stuðlar!$A$5</f>
        <v>257938.27824999997</v>
      </c>
      <c r="C32" s="4">
        <f>B32/$C$5</f>
        <v>1488.1340694051805</v>
      </c>
      <c r="D32" s="4">
        <f>C32*Stuðlar!$A$14</f>
        <v>491.0842429037096</v>
      </c>
      <c r="E32" s="4">
        <f>C32*Stuðlar!$A$15</f>
        <v>669.6603312323313</v>
      </c>
      <c r="F32" s="4">
        <f>C32*Stuðlar!$A$16</f>
        <v>1339.3206624646625</v>
      </c>
      <c r="G32" s="4">
        <f>B32*$G$5</f>
        <v>2678.68901962625</v>
      </c>
      <c r="H32" s="4">
        <f>B32*$H$5</f>
        <v>2934.0479150937495</v>
      </c>
      <c r="I32" s="24">
        <f>B32+(50*D32)+(50*E32)+(9*G32)</f>
        <v>340083.7081334383</v>
      </c>
      <c r="J32" s="24">
        <f>B32+(61*D32)+(50*E32)+(9*G32)</f>
        <v>345485.6348053791</v>
      </c>
    </row>
    <row r="33" spans="9:10" ht="15">
      <c r="I33" s="25"/>
      <c r="J33" s="25"/>
    </row>
    <row r="34" spans="1:11" s="5" customFormat="1" ht="15">
      <c r="A34" s="5" t="s">
        <v>31</v>
      </c>
      <c r="I34" s="44"/>
      <c r="J34" s="6"/>
      <c r="K34" s="6"/>
    </row>
    <row r="35" spans="1:10" ht="15.75" thickBot="1">
      <c r="A35" s="29"/>
      <c r="B35" s="29">
        <f>B21*Stuðlar!$A$5</f>
        <v>285149.64748</v>
      </c>
      <c r="C35" s="29">
        <f>B35/$C$5</f>
        <v>1645.1257571107135</v>
      </c>
      <c r="D35" s="29">
        <f>C35*Stuðlar!$A$14</f>
        <v>542.8914998465355</v>
      </c>
      <c r="E35" s="29">
        <f>C35*Stuðlar!$A$15</f>
        <v>740.3065906998211</v>
      </c>
      <c r="F35" s="29">
        <f>C35*Stuðlar!$A$16</f>
        <v>1480.6131813996421</v>
      </c>
      <c r="G35" s="29">
        <f>B35*$G$5</f>
        <v>2961.2790890798</v>
      </c>
      <c r="H35" s="29">
        <f>B35*$H$5</f>
        <v>3243.5772400849996</v>
      </c>
      <c r="I35" s="30">
        <f>B35+(50*D35)+(50*E35)+(9*G35)</f>
        <v>375961.06380903604</v>
      </c>
      <c r="J35" s="30">
        <f>B35+(61*D35)+(50*E35)+(9*G35)</f>
        <v>381932.8703073479</v>
      </c>
    </row>
    <row r="36" ht="15.75" thickTop="1"/>
    <row r="38" spans="1:8" ht="15">
      <c r="A38" s="26"/>
      <c r="B38" s="26"/>
      <c r="C38" s="26"/>
      <c r="D38" s="32" t="s">
        <v>57</v>
      </c>
      <c r="E38" s="32" t="s">
        <v>58</v>
      </c>
      <c r="F38" s="32" t="s">
        <v>59</v>
      </c>
      <c r="G38" s="32" t="s">
        <v>60</v>
      </c>
      <c r="H38" s="32" t="s">
        <v>61</v>
      </c>
    </row>
    <row r="39" spans="1:8" ht="15">
      <c r="A39" s="31" t="s">
        <v>62</v>
      </c>
      <c r="B39" s="26"/>
      <c r="C39" s="26"/>
      <c r="D39" s="28">
        <v>4074</v>
      </c>
      <c r="E39" s="28">
        <v>4074</v>
      </c>
      <c r="F39" s="27"/>
      <c r="G39" s="28">
        <v>1523</v>
      </c>
      <c r="H39" s="28">
        <v>6599</v>
      </c>
    </row>
    <row r="40" spans="1:14" ht="15">
      <c r="A40" s="26" t="s">
        <v>68</v>
      </c>
      <c r="C40" s="27">
        <v>2009</v>
      </c>
      <c r="D40" s="28">
        <f>Stuðlar!C23</f>
        <v>25000</v>
      </c>
      <c r="E40" s="28"/>
      <c r="F40" s="26"/>
      <c r="N40" s="45"/>
    </row>
    <row r="41" spans="1:8" ht="15">
      <c r="A41" s="26" t="s">
        <v>64</v>
      </c>
      <c r="C41" s="27">
        <v>2009</v>
      </c>
      <c r="D41" s="28">
        <f>Stuðlar!C27</f>
        <v>45500</v>
      </c>
      <c r="E41" s="28"/>
      <c r="F41" s="26"/>
      <c r="G41" s="26"/>
      <c r="H41" s="26"/>
    </row>
    <row r="42" spans="1:8" ht="15">
      <c r="A42" s="26"/>
      <c r="C42" s="27"/>
      <c r="D42" s="28"/>
      <c r="E42" s="28"/>
      <c r="F42" s="26"/>
      <c r="G42" s="26"/>
      <c r="H42" s="26"/>
    </row>
    <row r="43" spans="1:8" ht="15">
      <c r="A43" s="26"/>
      <c r="C43" s="27"/>
      <c r="D43" s="28"/>
      <c r="E43" s="28"/>
      <c r="F43" s="26"/>
      <c r="G43" s="26"/>
      <c r="H43" s="26"/>
    </row>
    <row r="44" spans="1:8" ht="15">
      <c r="A44" s="26"/>
      <c r="C44" s="27"/>
      <c r="D44" s="28"/>
      <c r="E44" s="28"/>
      <c r="F44" s="26"/>
      <c r="G44" s="26"/>
      <c r="H44" s="26"/>
    </row>
    <row r="45" spans="1:8" ht="15">
      <c r="A45" s="26"/>
      <c r="C45" s="27"/>
      <c r="D45" s="28"/>
      <c r="E45" s="28"/>
      <c r="F45" s="26"/>
      <c r="G45" s="26"/>
      <c r="H45" s="26"/>
    </row>
    <row r="46" spans="1:8" ht="15">
      <c r="A46" s="26"/>
      <c r="C46" s="27"/>
      <c r="D46" s="28"/>
      <c r="E46" s="28"/>
      <c r="F46" s="26"/>
      <c r="G46" s="26"/>
      <c r="H46" s="26"/>
    </row>
    <row r="49" spans="1:10" ht="21">
      <c r="A49" s="71" t="s">
        <v>76</v>
      </c>
      <c r="B49" s="71"/>
      <c r="C49" s="71"/>
      <c r="D49" s="71"/>
      <c r="E49" s="71"/>
      <c r="F49" s="71"/>
      <c r="G49" s="71"/>
      <c r="H49" s="71"/>
      <c r="I49" s="71"/>
      <c r="J49" s="71"/>
    </row>
    <row r="51" s="5" customFormat="1" ht="15">
      <c r="A51" s="5" t="s">
        <v>39</v>
      </c>
    </row>
    <row r="52" spans="3:9" ht="15">
      <c r="C52" s="7" t="s">
        <v>20</v>
      </c>
      <c r="D52" s="65" t="s">
        <v>46</v>
      </c>
      <c r="E52" s="66"/>
      <c r="F52" s="67"/>
      <c r="G52" s="7" t="s">
        <v>21</v>
      </c>
      <c r="H52" s="68" t="s">
        <v>45</v>
      </c>
      <c r="I52" s="68"/>
    </row>
    <row r="53" spans="2:9" ht="15">
      <c r="B53" s="8" t="s">
        <v>37</v>
      </c>
      <c r="C53" s="9">
        <v>173.33</v>
      </c>
      <c r="D53" s="20">
        <v>0.33</v>
      </c>
      <c r="E53" s="10">
        <v>0.45</v>
      </c>
      <c r="F53" s="21">
        <v>0.9</v>
      </c>
      <c r="G53" s="11">
        <v>0.010385</v>
      </c>
      <c r="H53" s="22" t="s">
        <v>24</v>
      </c>
      <c r="I53" s="22" t="s">
        <v>25</v>
      </c>
    </row>
    <row r="54" spans="8:9" ht="15">
      <c r="H54" s="24"/>
      <c r="I54" s="24"/>
    </row>
    <row r="55" spans="1:9" ht="15">
      <c r="A55" s="4" t="s">
        <v>40</v>
      </c>
      <c r="B55" s="4">
        <f>89372+Stuðlar!J8+Stuðlar!J9</f>
        <v>102872</v>
      </c>
      <c r="C55" s="4">
        <f>B55/$C$5</f>
        <v>593.5037212254082</v>
      </c>
      <c r="D55" s="4">
        <f>C55*Stuðlar!$A$14</f>
        <v>195.85622800438472</v>
      </c>
      <c r="E55" s="4">
        <f>C55*Stuðlar!$A$15</f>
        <v>267.0766745514337</v>
      </c>
      <c r="F55" s="4">
        <f>C55*Stuðlar!$A$16</f>
        <v>534.1533491028674</v>
      </c>
      <c r="G55" s="4">
        <v>1171</v>
      </c>
      <c r="H55" s="24">
        <f>B55+(50*D55)+(50*E55)+(9*G55)</f>
        <v>136557.64512779092</v>
      </c>
      <c r="I55" s="24">
        <f>B55+(61*D55)+(50*E55)+(9*G55)</f>
        <v>138712.06363583915</v>
      </c>
    </row>
    <row r="56" spans="1:9" ht="15">
      <c r="A56" s="4" t="s">
        <v>41</v>
      </c>
      <c r="B56" s="4">
        <f>99302+Stuðlar!J8+Stuðlar!J9</f>
        <v>112802</v>
      </c>
      <c r="C56" s="4">
        <f>B56/$C$5</f>
        <v>650.79328448624</v>
      </c>
      <c r="D56" s="4">
        <f>C56*Stuðlar!$A$14</f>
        <v>214.76178388045923</v>
      </c>
      <c r="E56" s="4">
        <f>C56*Stuðlar!$A$15</f>
        <v>292.85697801880804</v>
      </c>
      <c r="F56" s="4">
        <f>C56*Stuðlar!$A$16</f>
        <v>585.7139560376161</v>
      </c>
      <c r="G56" s="4">
        <f>B56*$G$5</f>
        <v>1171.44877</v>
      </c>
      <c r="H56" s="24">
        <f>B56+(50*D56)+(50*E56)+(9*G56)</f>
        <v>148725.9770249634</v>
      </c>
      <c r="I56" s="24">
        <f>B56+(61*D56)+(50*E56)+(9*G56)</f>
        <v>151088.35664764844</v>
      </c>
    </row>
    <row r="57" spans="1:9" ht="15">
      <c r="A57" s="4" t="s">
        <v>42</v>
      </c>
      <c r="B57" s="4">
        <f>119162+Stuðlar!J8+Stuðlar!J9</f>
        <v>132662</v>
      </c>
      <c r="C57" s="4">
        <f>B57/$C$5</f>
        <v>765.3724110079039</v>
      </c>
      <c r="D57" s="4">
        <f>C57*Stuðlar!$A$14</f>
        <v>252.5728956326083</v>
      </c>
      <c r="E57" s="4">
        <f>C57*Stuðlar!$A$15</f>
        <v>344.41758495355674</v>
      </c>
      <c r="F57" s="4">
        <f>C57*Stuðlar!$A$16</f>
        <v>688.8351699071135</v>
      </c>
      <c r="G57" s="4">
        <f>B57*$G$5</f>
        <v>1377.69487</v>
      </c>
      <c r="H57" s="24">
        <f>B57+(50*D57)+(50*E57)+(9*G57)</f>
        <v>174910.77785930826</v>
      </c>
      <c r="I57" s="24">
        <f>B57+(61*D57)+(50*E57)+(9*G57)</f>
        <v>177689.07971126694</v>
      </c>
    </row>
    <row r="58" spans="1:9" ht="15.75" thickBot="1">
      <c r="A58" s="29" t="s">
        <v>43</v>
      </c>
      <c r="B58" s="29">
        <f>129093+Stuðlar!J8+Stuðlar!J9</f>
        <v>142593</v>
      </c>
      <c r="C58" s="29">
        <f>B58/$C$5</f>
        <v>822.667743610454</v>
      </c>
      <c r="D58" s="29">
        <f>C58*Stuðlar!$A$14</f>
        <v>271.4803553914498</v>
      </c>
      <c r="E58" s="29">
        <f>C58*Stuðlar!$A$15</f>
        <v>370.2004846247043</v>
      </c>
      <c r="F58" s="29">
        <f>C58*Stuðlar!$A$16</f>
        <v>740.4009692494086</v>
      </c>
      <c r="G58" s="29">
        <f>B58*$G$5</f>
        <v>1480.828305</v>
      </c>
      <c r="H58" s="30">
        <f>B58+(50*D58)+(50*E58)+(9*G58)</f>
        <v>188004.4967458077</v>
      </c>
      <c r="I58" s="30">
        <f>B58+(61*D58)+(50*E58)+(9*G58)</f>
        <v>190990.78065511363</v>
      </c>
    </row>
    <row r="59" spans="1:9" ht="15.75" thickTop="1">
      <c r="A59" s="25"/>
      <c r="B59" s="25"/>
      <c r="C59" s="25"/>
      <c r="D59" s="25"/>
      <c r="E59" s="25"/>
      <c r="F59" s="25"/>
      <c r="G59" s="25"/>
      <c r="H59" s="25"/>
      <c r="I59" s="25"/>
    </row>
    <row r="60" ht="15">
      <c r="A60" s="5" t="s">
        <v>44</v>
      </c>
    </row>
    <row r="61" spans="3:9" ht="15">
      <c r="C61" s="7" t="s">
        <v>20</v>
      </c>
      <c r="D61" s="47" t="s">
        <v>46</v>
      </c>
      <c r="E61" s="48"/>
      <c r="F61" s="49"/>
      <c r="G61" s="7" t="s">
        <v>21</v>
      </c>
      <c r="H61" s="74" t="s">
        <v>45</v>
      </c>
      <c r="I61" s="75"/>
    </row>
    <row r="62" spans="2:9" ht="15">
      <c r="B62" s="8" t="s">
        <v>37</v>
      </c>
      <c r="C62" s="9">
        <v>173.33</v>
      </c>
      <c r="D62" s="20">
        <v>0.33</v>
      </c>
      <c r="E62" s="10">
        <v>0.45</v>
      </c>
      <c r="F62" s="21">
        <v>0.9</v>
      </c>
      <c r="G62" s="11">
        <v>0.010385</v>
      </c>
      <c r="H62" s="22" t="s">
        <v>24</v>
      </c>
      <c r="I62" s="22" t="s">
        <v>25</v>
      </c>
    </row>
    <row r="63" spans="1:9" ht="15">
      <c r="A63" s="4" t="s">
        <v>55</v>
      </c>
      <c r="B63" s="15">
        <f>89372+Stuðlar!J8+Stuðlar!J9</f>
        <v>102872</v>
      </c>
      <c r="C63" s="4">
        <f>B63/$C$5</f>
        <v>593.5037212254082</v>
      </c>
      <c r="D63" s="4">
        <f>C63*Stuðlar!$A$14</f>
        <v>195.85622800438472</v>
      </c>
      <c r="E63" s="4">
        <f>C63*Stuðlar!$A$15</f>
        <v>267.0766745514337</v>
      </c>
      <c r="F63" s="4">
        <f>C63*Stuðlar!$A$16</f>
        <v>534.1533491028674</v>
      </c>
      <c r="G63" s="4">
        <v>1171</v>
      </c>
      <c r="H63" s="24">
        <f>B63+(50*D63)+(50*E63)+(9*G63)</f>
        <v>136557.64512779092</v>
      </c>
      <c r="I63" s="24">
        <f>B63+(61*D63)+(50*E63)+(9*G63)</f>
        <v>138712.06363583915</v>
      </c>
    </row>
    <row r="64" spans="1:9" ht="15">
      <c r="A64" s="4" t="s">
        <v>41</v>
      </c>
      <c r="B64" s="15">
        <f>99302+Stuðlar!J8+Stuðlar!J9</f>
        <v>112802</v>
      </c>
      <c r="C64" s="4">
        <f>B64/$C$5</f>
        <v>650.79328448624</v>
      </c>
      <c r="D64" s="4">
        <f>C64*Stuðlar!$A$14</f>
        <v>214.76178388045923</v>
      </c>
      <c r="E64" s="4">
        <f>C64*Stuðlar!$A$15</f>
        <v>292.85697801880804</v>
      </c>
      <c r="F64" s="4">
        <f>C64*Stuðlar!$A$16</f>
        <v>585.7139560376161</v>
      </c>
      <c r="G64" s="4">
        <f>B64*$G$5</f>
        <v>1171.44877</v>
      </c>
      <c r="H64" s="24">
        <f>B64+(50*D64)+(50*E64)+(9*G64)</f>
        <v>148725.9770249634</v>
      </c>
      <c r="I64" s="24">
        <f>B64+(61*D64)+(50*E64)+(9*G64)</f>
        <v>151088.35664764844</v>
      </c>
    </row>
    <row r="65" spans="1:9" ht="15.75" thickBot="1">
      <c r="A65" s="29" t="s">
        <v>42</v>
      </c>
      <c r="B65" s="36">
        <f>124128+Stuðlar!J8+Stuðlar!J9</f>
        <v>137628</v>
      </c>
      <c r="C65" s="29">
        <f>B65/$C$5</f>
        <v>794.0229619800381</v>
      </c>
      <c r="D65" s="29">
        <f>C65*Stuðlar!$A$14</f>
        <v>262.02757745341256</v>
      </c>
      <c r="E65" s="29">
        <f>C65*Stuðlar!$A$15</f>
        <v>357.31033289101714</v>
      </c>
      <c r="F65" s="29">
        <f>C65*Stuðlar!$A$16</f>
        <v>714.6206657820343</v>
      </c>
      <c r="G65" s="29">
        <f>B65*$G$5</f>
        <v>1429.26678</v>
      </c>
      <c r="H65" s="30">
        <f>B65+(50*D65)+(50*E65)+(9*G65)</f>
        <v>181458.2965372215</v>
      </c>
      <c r="I65" s="30">
        <f>B65+(61*D65)+(50*E65)+(9*G65)</f>
        <v>184340.59988920903</v>
      </c>
    </row>
    <row r="66" spans="8:9" ht="15.75" thickTop="1">
      <c r="H66" s="25"/>
      <c r="I66" s="25"/>
    </row>
    <row r="67" spans="4:8" ht="15">
      <c r="D67" s="5" t="s">
        <v>57</v>
      </c>
      <c r="E67" s="5" t="s">
        <v>58</v>
      </c>
      <c r="F67" s="5" t="s">
        <v>59</v>
      </c>
      <c r="G67" s="5" t="s">
        <v>60</v>
      </c>
      <c r="H67" s="5" t="s">
        <v>61</v>
      </c>
    </row>
    <row r="68" spans="1:8" ht="15">
      <c r="A68" s="5" t="s">
        <v>62</v>
      </c>
      <c r="D68" s="4">
        <v>4074</v>
      </c>
      <c r="E68" s="4">
        <v>4074</v>
      </c>
      <c r="G68" s="4">
        <v>1523</v>
      </c>
      <c r="H68" s="4">
        <v>6599</v>
      </c>
    </row>
    <row r="69" spans="1:5" ht="15">
      <c r="A69" s="4" t="s">
        <v>63</v>
      </c>
      <c r="D69" s="34">
        <v>2008</v>
      </c>
      <c r="E69" s="35">
        <v>24300</v>
      </c>
    </row>
    <row r="70" spans="1:5" ht="15">
      <c r="A70" s="4" t="s">
        <v>64</v>
      </c>
      <c r="D70" s="4">
        <v>2008</v>
      </c>
      <c r="E70" s="35">
        <v>44000</v>
      </c>
    </row>
    <row r="71" ht="15">
      <c r="A71" s="4" t="s">
        <v>65</v>
      </c>
    </row>
  </sheetData>
  <sheetProtection/>
  <mergeCells count="11">
    <mergeCell ref="A1:J1"/>
    <mergeCell ref="D4:F4"/>
    <mergeCell ref="I4:J4"/>
    <mergeCell ref="D14:F14"/>
    <mergeCell ref="I14:J14"/>
    <mergeCell ref="D29:F29"/>
    <mergeCell ref="I29:J29"/>
    <mergeCell ref="H61:I61"/>
    <mergeCell ref="A49:J49"/>
    <mergeCell ref="D52:F52"/>
    <mergeCell ref="H52:I52"/>
  </mergeCells>
  <printOptions/>
  <pageMargins left="0.75" right="0.75" top="1" bottom="1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4">
      <selection activeCell="I19" sqref="I19"/>
    </sheetView>
  </sheetViews>
  <sheetFormatPr defaultColWidth="11.421875" defaultRowHeight="15"/>
  <cols>
    <col min="1" max="1" width="11.421875" style="4" customWidth="1"/>
    <col min="2" max="2" width="8.00390625" style="4" customWidth="1"/>
    <col min="3" max="4" width="6.421875" style="4" bestFit="1" customWidth="1"/>
    <col min="5" max="5" width="6.7109375" style="4" bestFit="1" customWidth="1"/>
    <col min="6" max="6" width="5.421875" style="4" bestFit="1" customWidth="1"/>
    <col min="7" max="7" width="8.140625" style="4" bestFit="1" customWidth="1"/>
    <col min="8" max="10" width="7.421875" style="4" bestFit="1" customWidth="1"/>
    <col min="11" max="13" width="11.421875" style="4" customWidth="1"/>
    <col min="14" max="14" width="12.28125" style="4" customWidth="1"/>
    <col min="15" max="16384" width="11.421875" style="4" customWidth="1"/>
  </cols>
  <sheetData>
    <row r="1" spans="1:10" ht="23.25">
      <c r="A1" s="70" t="s">
        <v>67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1.25" customHeight="1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4" ht="15">
      <c r="A3" s="5" t="s">
        <v>73</v>
      </c>
      <c r="B3" s="5"/>
      <c r="C3" s="5"/>
      <c r="D3" s="5"/>
    </row>
    <row r="4" spans="1:10" ht="15">
      <c r="A4" s="6"/>
      <c r="B4" s="6"/>
      <c r="C4" s="7" t="s">
        <v>20</v>
      </c>
      <c r="D4" s="65" t="s">
        <v>46</v>
      </c>
      <c r="E4" s="72"/>
      <c r="F4" s="73"/>
      <c r="G4" s="7" t="s">
        <v>21</v>
      </c>
      <c r="H4" s="7" t="s">
        <v>22</v>
      </c>
      <c r="I4" s="74" t="s">
        <v>45</v>
      </c>
      <c r="J4" s="75"/>
    </row>
    <row r="5" spans="1:10" ht="15">
      <c r="A5" s="8"/>
      <c r="B5" s="8" t="s">
        <v>23</v>
      </c>
      <c r="C5" s="9">
        <v>173.33</v>
      </c>
      <c r="D5" s="20">
        <v>0.33</v>
      </c>
      <c r="E5" s="10">
        <v>0.45</v>
      </c>
      <c r="F5" s="21">
        <v>0.9</v>
      </c>
      <c r="G5" s="11">
        <v>0.010385</v>
      </c>
      <c r="H5" s="38">
        <v>0.01375</v>
      </c>
      <c r="I5" s="22" t="s">
        <v>24</v>
      </c>
      <c r="J5" s="22" t="s">
        <v>25</v>
      </c>
    </row>
    <row r="6" spans="1:10" ht="15">
      <c r="A6" s="4" t="s">
        <v>48</v>
      </c>
      <c r="B6" s="4">
        <f>B18*0.79</f>
        <v>179017.263806</v>
      </c>
      <c r="C6" s="4">
        <f>B6/$C$5</f>
        <v>1032.8117683378525</v>
      </c>
      <c r="D6" s="4">
        <f>C6*Stuðlar!$A$14</f>
        <v>340.82788355149137</v>
      </c>
      <c r="E6" s="4">
        <f>C6*Stuðlar!$A$15</f>
        <v>464.76529575203364</v>
      </c>
      <c r="F6" s="4">
        <f>C6*Stuðlar!$A$16</f>
        <v>929.5305915040673</v>
      </c>
      <c r="G6" s="4">
        <f>B6*$G$5</f>
        <v>1859.0942846253101</v>
      </c>
      <c r="H6" s="4">
        <f>B6*$H$5</f>
        <v>2461.4873773325003</v>
      </c>
      <c r="I6" s="24">
        <f>B6+(50*D6)+(50*E6)+(9*G6)</f>
        <v>236028.77133280406</v>
      </c>
      <c r="J6" s="24">
        <f>B6+(61*D6)+(50*E6)+(9*G6)</f>
        <v>239777.87805187044</v>
      </c>
    </row>
    <row r="7" spans="8:11" ht="15">
      <c r="H7" s="25"/>
      <c r="I7" s="25"/>
      <c r="J7" s="25"/>
      <c r="K7" s="25"/>
    </row>
    <row r="8" spans="1:10" s="5" customFormat="1" ht="15">
      <c r="A8" s="5" t="s">
        <v>47</v>
      </c>
      <c r="I8" s="74" t="s">
        <v>45</v>
      </c>
      <c r="J8" s="75"/>
    </row>
    <row r="9" spans="1:10" ht="15">
      <c r="A9" s="4" t="s">
        <v>1</v>
      </c>
      <c r="B9" s="4">
        <f>B18*0.9</f>
        <v>203943.71826</v>
      </c>
      <c r="C9" s="4">
        <f>B9/$C$5</f>
        <v>1176.6210019038826</v>
      </c>
      <c r="D9" s="4">
        <f>C9*Stuðlar!$A$14</f>
        <v>388.2849306282813</v>
      </c>
      <c r="E9" s="4">
        <f>C9*Stuðlar!$A$15</f>
        <v>529.4794508567472</v>
      </c>
      <c r="F9" s="4">
        <f>C9*Stuðlar!$A$16</f>
        <v>1058.9589017134945</v>
      </c>
      <c r="G9" s="4">
        <f>B9*$G$5</f>
        <v>2117.9555141301</v>
      </c>
      <c r="H9" s="4">
        <f>B9*$H$5</f>
        <v>2804.226126075</v>
      </c>
      <c r="I9" s="24">
        <f>B9+(50*D9)+(50*E9)+(9*G9)</f>
        <v>268893.5369614223</v>
      </c>
      <c r="J9" s="24">
        <f>B9+(61*D9)+(50*E9)+(9*G9)</f>
        <v>273164.6711983334</v>
      </c>
    </row>
    <row r="10" spans="1:10" ht="15">
      <c r="A10" s="4" t="s">
        <v>49</v>
      </c>
      <c r="B10" s="4">
        <f>B19*0.9</f>
        <v>207583.67015999998</v>
      </c>
      <c r="C10" s="4">
        <f>B10/$C$5</f>
        <v>1197.6211282524662</v>
      </c>
      <c r="D10" s="4">
        <f>C10*Stuðlar!$A$14</f>
        <v>395.2149723233139</v>
      </c>
      <c r="E10" s="4">
        <f>C10*Stuðlar!$A$15</f>
        <v>538.9295077136098</v>
      </c>
      <c r="F10" s="4">
        <f>C10*Stuðlar!$A$16</f>
        <v>1077.8590154272197</v>
      </c>
      <c r="G10" s="4">
        <f>B10*$G$5</f>
        <v>2155.7564146115997</v>
      </c>
      <c r="H10" s="4">
        <f>B10*$H$5</f>
        <v>2854.2754646999997</v>
      </c>
      <c r="I10" s="24">
        <f>B10+(50*D10)+(50*E10)+(9*G10)</f>
        <v>273692.7018933506</v>
      </c>
      <c r="J10" s="24">
        <f>B10+(61*D10)+(50*E10)+(9*G10)</f>
        <v>278040.06658890704</v>
      </c>
    </row>
    <row r="11" spans="9:10" ht="15">
      <c r="I11" s="25"/>
      <c r="J11" s="25"/>
    </row>
    <row r="12" spans="1:10" s="5" customFormat="1" ht="15">
      <c r="A12" s="5" t="s">
        <v>27</v>
      </c>
      <c r="I12" s="6"/>
      <c r="J12" s="6"/>
    </row>
    <row r="13" spans="1:10" ht="15.75" thickBot="1">
      <c r="A13" s="29"/>
      <c r="B13" s="29">
        <f>Stuðlar!E5+Stuðlar!I8+Stuðlar!I9+Stuðlar!I10</f>
        <v>216029</v>
      </c>
      <c r="C13" s="29"/>
      <c r="D13" s="29"/>
      <c r="E13" s="29"/>
      <c r="F13" s="29"/>
      <c r="G13" s="29"/>
      <c r="H13" s="29"/>
      <c r="I13" s="29"/>
      <c r="J13" s="29"/>
    </row>
    <row r="14" spans="9:10" ht="15.75" thickTop="1">
      <c r="I14" s="25"/>
      <c r="J14" s="25"/>
    </row>
    <row r="15" spans="1:10" s="5" customFormat="1" ht="15">
      <c r="A15" s="5" t="s">
        <v>28</v>
      </c>
      <c r="I15" s="6"/>
      <c r="J15" s="6"/>
    </row>
    <row r="16" spans="3:10" s="5" customFormat="1" ht="15">
      <c r="C16" s="7" t="s">
        <v>20</v>
      </c>
      <c r="D16" s="65" t="s">
        <v>46</v>
      </c>
      <c r="E16" s="72"/>
      <c r="F16" s="73"/>
      <c r="G16" s="7" t="s">
        <v>21</v>
      </c>
      <c r="H16" s="7" t="s">
        <v>22</v>
      </c>
      <c r="I16" s="74" t="s">
        <v>45</v>
      </c>
      <c r="J16" s="75"/>
    </row>
    <row r="17" spans="2:10" s="5" customFormat="1" ht="15">
      <c r="B17" s="8" t="s">
        <v>23</v>
      </c>
      <c r="C17" s="9">
        <v>173.33</v>
      </c>
      <c r="D17" s="20">
        <v>0.33</v>
      </c>
      <c r="E17" s="10">
        <v>0.45</v>
      </c>
      <c r="F17" s="21">
        <v>0.9</v>
      </c>
      <c r="G17" s="11">
        <v>0.010385</v>
      </c>
      <c r="H17" s="38">
        <v>0.01375</v>
      </c>
      <c r="I17" s="22" t="s">
        <v>24</v>
      </c>
      <c r="J17" s="22" t="s">
        <v>25</v>
      </c>
    </row>
    <row r="18" spans="1:10" ht="15">
      <c r="A18" s="4" t="s">
        <v>1</v>
      </c>
      <c r="B18" s="4">
        <f>Stuðlar!E6+Stuðlar!$I$6+Stuðlar!$I$8+Stuðlar!$I$9+Stuðlar!I10</f>
        <v>226604.13139999998</v>
      </c>
      <c r="C18" s="4">
        <f>B18/$C$5</f>
        <v>1307.3566687820917</v>
      </c>
      <c r="D18" s="4">
        <f>C18*Stuðlar!$A$14</f>
        <v>431.4277006980903</v>
      </c>
      <c r="E18" s="4">
        <f>C18*Stuðlar!$A$15</f>
        <v>588.3105009519413</v>
      </c>
      <c r="F18" s="4">
        <f>C18*Stuðlar!$A$16</f>
        <v>1176.6210019038826</v>
      </c>
      <c r="G18" s="4">
        <f>B18*$G$5</f>
        <v>2353.283904589</v>
      </c>
      <c r="H18" s="4">
        <f>B18*$H$5</f>
        <v>3115.80680675</v>
      </c>
      <c r="I18" s="24">
        <f>B18+(58.5*D18)+(37.4*E18)+(9*G18)</f>
        <v>295025.01976774185</v>
      </c>
      <c r="J18" s="24">
        <f>B18+(61*D18)+(50*E18)+(9*G18)</f>
        <v>303516.30133148155</v>
      </c>
    </row>
    <row r="19" spans="1:10" ht="15">
      <c r="A19" s="4" t="s">
        <v>49</v>
      </c>
      <c r="B19" s="4">
        <f>Stuðlar!E7+Stuðlar!$I$6+Stuðlar!$I$8+Stuðlar!$I$9+Stuðlar!I10</f>
        <v>230648.5224</v>
      </c>
      <c r="C19" s="4">
        <f>B19/$C$5</f>
        <v>1330.6901425027402</v>
      </c>
      <c r="D19" s="4">
        <f>C19*Stuðlar!$A$14</f>
        <v>439.1277470259043</v>
      </c>
      <c r="E19" s="4">
        <f>C19*Stuðlar!$A$15</f>
        <v>598.8105641262331</v>
      </c>
      <c r="F19" s="4">
        <f>C19*Stuðlar!$A$16</f>
        <v>1197.6211282524662</v>
      </c>
      <c r="G19" s="4">
        <f>B19*$G$5</f>
        <v>2395.284905124</v>
      </c>
      <c r="H19" s="4">
        <f>B19*$H$5</f>
        <v>3171.417183</v>
      </c>
      <c r="I19" s="24">
        <f>B19+(50*D19)+(50*E19)+(9*G19)</f>
        <v>304103.0021037229</v>
      </c>
      <c r="J19" s="24">
        <f>B19+(61*D19)+(50*E19)+(9*G19)</f>
        <v>308933.4073210078</v>
      </c>
    </row>
    <row r="20" spans="1:10" ht="15">
      <c r="A20" s="4" t="s">
        <v>50</v>
      </c>
      <c r="B20" s="4">
        <f>Stuðlar!E8+Stuðlar!$I$6+Stuðlar!$I$8+Stuðlar!$I$9+Stuðlar!I10</f>
        <v>234794.155</v>
      </c>
      <c r="C20" s="4">
        <f>B20/$C$5</f>
        <v>1354.607713609877</v>
      </c>
      <c r="D20" s="4">
        <f>C20*Stuðlar!$A$14</f>
        <v>447.02054549125944</v>
      </c>
      <c r="E20" s="4">
        <f>C20*Stuðlar!$A$15</f>
        <v>609.5734711244447</v>
      </c>
      <c r="F20" s="4">
        <f>C20*Stuðlar!$A$16</f>
        <v>1219.1469422488894</v>
      </c>
      <c r="G20" s="4">
        <f>B20*$G$5</f>
        <v>2438.337299675</v>
      </c>
      <c r="H20" s="4">
        <f>B20*$H$5</f>
        <v>3228.41963125</v>
      </c>
      <c r="I20" s="24">
        <f>B20+(50*D20)+(50*E20)+(9*G20)</f>
        <v>309568.89152786025</v>
      </c>
      <c r="J20" s="24">
        <f>B20+(61*D20)+(50*E20)+(9*G20)</f>
        <v>314486.11752826406</v>
      </c>
    </row>
    <row r="21" ht="15">
      <c r="L21" s="2"/>
    </row>
    <row r="22" s="5" customFormat="1" ht="15">
      <c r="A22" s="5" t="s">
        <v>31</v>
      </c>
    </row>
    <row r="23" spans="1:10" ht="15.75" thickBot="1">
      <c r="A23" s="29"/>
      <c r="B23" s="29">
        <f>Stuðlar!E9+Stuðlar!I6+Stuðlar!I8+Stuðlar!I9+Stuðlar!I10</f>
        <v>258456.2152</v>
      </c>
      <c r="C23" s="29">
        <f>B23/$C$5</f>
        <v>1491.1222246581665</v>
      </c>
      <c r="D23" s="29">
        <f>C23*Stuðlar!$A$14</f>
        <v>492.07033413719495</v>
      </c>
      <c r="E23" s="29">
        <f>C23*Stuðlar!$A$15</f>
        <v>671.005001096175</v>
      </c>
      <c r="F23" s="29">
        <f>C23*Stuðlar!$A$16</f>
        <v>1342.01000219235</v>
      </c>
      <c r="G23" s="29">
        <f>B23*$G$5</f>
        <v>2684.067794852</v>
      </c>
      <c r="H23" s="29">
        <f>B23*$H$5</f>
        <v>3553.772959</v>
      </c>
      <c r="I23" s="29">
        <f>B23+(50*D23)+(50*E23)+(9*G23)</f>
        <v>340766.59211533645</v>
      </c>
      <c r="J23" s="29">
        <f>B23+(61*D23)+(50*E23)+(9*G23)</f>
        <v>346179.3657908456</v>
      </c>
    </row>
    <row r="24" ht="15.75" thickTop="1"/>
    <row r="25" spans="1:13" s="5" customFormat="1" ht="15">
      <c r="A25" s="5" t="s">
        <v>32</v>
      </c>
      <c r="M25" s="50"/>
    </row>
    <row r="26" spans="1:13" ht="15">
      <c r="A26" s="4" t="s">
        <v>78</v>
      </c>
      <c r="M26" s="51"/>
    </row>
    <row r="27" ht="15">
      <c r="A27" s="4" t="s">
        <v>81</v>
      </c>
    </row>
    <row r="28" ht="15">
      <c r="A28" s="4" t="s">
        <v>79</v>
      </c>
    </row>
    <row r="29" ht="15">
      <c r="A29" s="4" t="s">
        <v>80</v>
      </c>
    </row>
    <row r="31" spans="1:4" ht="15">
      <c r="A31" s="5" t="s">
        <v>28</v>
      </c>
      <c r="B31" s="5"/>
      <c r="C31" s="5"/>
      <c r="D31" s="5"/>
    </row>
    <row r="32" spans="3:10" ht="15">
      <c r="C32" s="7" t="s">
        <v>20</v>
      </c>
      <c r="D32" s="65" t="s">
        <v>46</v>
      </c>
      <c r="E32" s="72"/>
      <c r="F32" s="73"/>
      <c r="G32" s="7" t="s">
        <v>21</v>
      </c>
      <c r="H32" s="7" t="s">
        <v>22</v>
      </c>
      <c r="I32" s="74" t="s">
        <v>45</v>
      </c>
      <c r="J32" s="75"/>
    </row>
    <row r="33" spans="1:10" s="5" customFormat="1" ht="15">
      <c r="A33" s="8"/>
      <c r="B33" s="8" t="s">
        <v>23</v>
      </c>
      <c r="C33" s="9">
        <v>173.33</v>
      </c>
      <c r="D33" s="20">
        <v>0.33</v>
      </c>
      <c r="E33" s="10">
        <v>0.45</v>
      </c>
      <c r="F33" s="21">
        <v>0.9</v>
      </c>
      <c r="G33" s="11">
        <v>0.010385</v>
      </c>
      <c r="H33" s="38">
        <v>0.01375</v>
      </c>
      <c r="I33" s="22" t="s">
        <v>24</v>
      </c>
      <c r="J33" s="22" t="s">
        <v>25</v>
      </c>
    </row>
    <row r="34" spans="1:10" ht="15">
      <c r="A34" s="4" t="s">
        <v>49</v>
      </c>
      <c r="B34" s="4">
        <f>B19*Stuðlar!$A$5</f>
        <v>265245.80075999995</v>
      </c>
      <c r="C34" s="4">
        <f>B34/$C$5</f>
        <v>1530.2936638781512</v>
      </c>
      <c r="D34" s="4">
        <f>C34*Stuðlar!$A$14</f>
        <v>504.99690907978993</v>
      </c>
      <c r="E34" s="4">
        <f>C34*Stuðlar!$A$15</f>
        <v>688.632148745168</v>
      </c>
      <c r="F34" s="4">
        <f>C34*Stuðlar!$A$16</f>
        <v>1377.264297490336</v>
      </c>
      <c r="G34" s="4">
        <f>B34*$G$5</f>
        <v>2754.5776408925994</v>
      </c>
      <c r="H34" s="4">
        <f>B34*$H$5</f>
        <v>3647.1297604499996</v>
      </c>
      <c r="I34" s="24">
        <f>B34+(50*D34)+(50*E34)+(9*G34)</f>
        <v>349718.4524192813</v>
      </c>
      <c r="J34" s="24">
        <f>B34+(61*D34)+(50*E34)+(9*G34)</f>
        <v>355273.41841915896</v>
      </c>
    </row>
    <row r="35" spans="1:10" ht="15">
      <c r="A35" s="4" t="s">
        <v>50</v>
      </c>
      <c r="B35" s="4">
        <f>B20*Stuðlar!$A$5</f>
        <v>270013.27825</v>
      </c>
      <c r="C35" s="4">
        <f>B35/$C$5</f>
        <v>1557.7988706513584</v>
      </c>
      <c r="D35" s="4">
        <f>C35*Stuðlar!$A$14</f>
        <v>514.0736273149482</v>
      </c>
      <c r="E35" s="4">
        <f>C35*Stuðlar!$A$15</f>
        <v>701.0094917931112</v>
      </c>
      <c r="F35" s="4">
        <f>C35*Stuðlar!$A$16</f>
        <v>1402.0189835862225</v>
      </c>
      <c r="G35" s="4">
        <f>B35*$G$5</f>
        <v>2804.0878946262496</v>
      </c>
      <c r="H35" s="4">
        <f>B35*$H$5</f>
        <v>3712.6825759374997</v>
      </c>
      <c r="I35" s="24">
        <f>B35+(50*D35)+(50*E35)+(9*G35)</f>
        <v>356004.2252570392</v>
      </c>
      <c r="J35" s="24">
        <f>B35+(61*D35)+(50*E35)+(9*G35)</f>
        <v>361659.0351575037</v>
      </c>
    </row>
    <row r="36" spans="9:10" ht="15">
      <c r="I36" s="25"/>
      <c r="J36" s="25"/>
    </row>
    <row r="37" spans="1:11" s="5" customFormat="1" ht="15">
      <c r="A37" s="5" t="s">
        <v>31</v>
      </c>
      <c r="I37" s="44"/>
      <c r="J37" s="6"/>
      <c r="K37" s="6"/>
    </row>
    <row r="38" spans="1:10" ht="15.75" thickBot="1">
      <c r="A38" s="29"/>
      <c r="B38" s="29">
        <f>B23*Stuðlar!$A$5</f>
        <v>297224.64748</v>
      </c>
      <c r="C38" s="29">
        <f>B38/$C$5</f>
        <v>1714.7905583568913</v>
      </c>
      <c r="D38" s="29">
        <f>C38*Stuðlar!$A$14</f>
        <v>565.8808842577741</v>
      </c>
      <c r="E38" s="29">
        <f>C38*Stuðlar!$A$15</f>
        <v>771.6557512606012</v>
      </c>
      <c r="F38" s="29">
        <f>C38*Stuðlar!$A$16</f>
        <v>1543.3115025212023</v>
      </c>
      <c r="G38" s="29">
        <f>B38*$G$5</f>
        <v>3086.6779640798</v>
      </c>
      <c r="H38" s="29">
        <f>B38*$H$5</f>
        <v>4086.8389028499996</v>
      </c>
      <c r="I38" s="30">
        <f>B38+(50*D38)+(50*E38)+(9*G38)</f>
        <v>391881.580932637</v>
      </c>
      <c r="J38" s="30">
        <f>B38+(61*D38)+(50*E38)+(9*G38)</f>
        <v>398106.27065947244</v>
      </c>
    </row>
    <row r="39" ht="15.75" thickTop="1"/>
    <row r="41" spans="1:8" ht="15">
      <c r="A41" s="26"/>
      <c r="B41" s="26"/>
      <c r="C41" s="26"/>
      <c r="D41" s="32" t="s">
        <v>57</v>
      </c>
      <c r="E41" s="32" t="s">
        <v>58</v>
      </c>
      <c r="F41" s="32" t="s">
        <v>59</v>
      </c>
      <c r="G41" s="32" t="s">
        <v>60</v>
      </c>
      <c r="H41" s="32" t="s">
        <v>61</v>
      </c>
    </row>
    <row r="42" spans="1:8" ht="15">
      <c r="A42" s="31" t="s">
        <v>62</v>
      </c>
      <c r="B42" s="26"/>
      <c r="C42" s="26"/>
      <c r="D42" s="4">
        <v>6076</v>
      </c>
      <c r="E42" s="4">
        <v>6076</v>
      </c>
      <c r="H42" s="4">
        <v>6076</v>
      </c>
    </row>
    <row r="43" spans="1:13" ht="15">
      <c r="A43" s="4" t="s">
        <v>68</v>
      </c>
      <c r="C43" s="4">
        <v>2010</v>
      </c>
      <c r="D43" s="4">
        <v>25800</v>
      </c>
      <c r="M43" s="5"/>
    </row>
    <row r="44" spans="1:4" ht="15">
      <c r="A44" s="4" t="s">
        <v>64</v>
      </c>
      <c r="C44" s="4">
        <v>2010</v>
      </c>
      <c r="D44" s="4">
        <v>47000</v>
      </c>
    </row>
    <row r="45" spans="1:3" ht="15">
      <c r="A45" s="26"/>
      <c r="C45" s="27"/>
    </row>
    <row r="46" spans="1:8" ht="15">
      <c r="A46" s="26"/>
      <c r="C46" s="27"/>
      <c r="D46" s="28"/>
      <c r="E46" s="28"/>
      <c r="F46" s="26"/>
      <c r="G46" s="26"/>
      <c r="H46" s="26"/>
    </row>
    <row r="47" spans="1:8" ht="15">
      <c r="A47" s="26"/>
      <c r="C47" s="27"/>
      <c r="D47" s="28"/>
      <c r="E47" s="28"/>
      <c r="F47" s="26"/>
      <c r="G47" s="26"/>
      <c r="H47" s="26"/>
    </row>
    <row r="48" ht="16.5" customHeight="1"/>
    <row r="49" ht="16.5" customHeight="1"/>
    <row r="50" ht="14.25" customHeight="1"/>
    <row r="52" spans="1:10" ht="21">
      <c r="A52" s="71" t="s">
        <v>77</v>
      </c>
      <c r="B52" s="71"/>
      <c r="C52" s="71"/>
      <c r="D52" s="71"/>
      <c r="E52" s="71"/>
      <c r="F52" s="71"/>
      <c r="G52" s="71"/>
      <c r="H52" s="71"/>
      <c r="I52" s="71"/>
      <c r="J52" s="71"/>
    </row>
    <row r="54" s="5" customFormat="1" ht="15">
      <c r="A54" s="5" t="s">
        <v>39</v>
      </c>
    </row>
    <row r="55" spans="3:9" ht="15">
      <c r="C55" s="7" t="s">
        <v>20</v>
      </c>
      <c r="D55" s="65" t="s">
        <v>46</v>
      </c>
      <c r="E55" s="66"/>
      <c r="F55" s="67"/>
      <c r="G55" s="7" t="s">
        <v>21</v>
      </c>
      <c r="H55" s="68" t="s">
        <v>45</v>
      </c>
      <c r="I55" s="68"/>
    </row>
    <row r="56" spans="2:9" ht="15">
      <c r="B56" s="8" t="s">
        <v>37</v>
      </c>
      <c r="C56" s="9">
        <v>173.33</v>
      </c>
      <c r="D56" s="20">
        <v>0.33</v>
      </c>
      <c r="E56" s="10">
        <v>0.45</v>
      </c>
      <c r="F56" s="21">
        <v>0.9</v>
      </c>
      <c r="G56" s="11">
        <v>0.010385</v>
      </c>
      <c r="H56" s="22" t="s">
        <v>24</v>
      </c>
      <c r="I56" s="22" t="s">
        <v>25</v>
      </c>
    </row>
    <row r="57" spans="8:9" ht="15">
      <c r="H57" s="24"/>
      <c r="I57" s="24"/>
    </row>
    <row r="58" spans="1:9" ht="15">
      <c r="A58" s="4" t="s">
        <v>40</v>
      </c>
      <c r="B58" s="4">
        <f>89372+Stuðlar!J8+Stuðlar!J9+Stuðlar!$J$10</f>
        <v>109372</v>
      </c>
      <c r="C58" s="4">
        <f>B58/$C$5</f>
        <v>631.0044423931229</v>
      </c>
      <c r="D58" s="4">
        <f>C58*Stuðlar!$A$14</f>
        <v>208.23146598973057</v>
      </c>
      <c r="E58" s="4">
        <f>C58*Stuðlar!$A$15</f>
        <v>283.9519990769053</v>
      </c>
      <c r="F58" s="4">
        <f>C58*Stuðlar!$A$16</f>
        <v>567.9039981538106</v>
      </c>
      <c r="G58" s="4">
        <v>1239</v>
      </c>
      <c r="H58" s="24">
        <f>B58+(50*D58)+(50*E58)+(9*G58)</f>
        <v>145132.1732533318</v>
      </c>
      <c r="I58" s="24">
        <f>B58+(61*D58)+(50*E58)+(9*G58)</f>
        <v>147422.71937921882</v>
      </c>
    </row>
    <row r="59" spans="1:9" ht="15">
      <c r="A59" s="4" t="s">
        <v>41</v>
      </c>
      <c r="B59" s="4">
        <f>99302+Stuðlar!J8+Stuðlar!J9+Stuðlar!J10</f>
        <v>119302</v>
      </c>
      <c r="C59" s="4">
        <f>B59/$C$5</f>
        <v>688.2940056539549</v>
      </c>
      <c r="D59" s="4">
        <f>C59*Stuðlar!$A$14</f>
        <v>227.1370218658051</v>
      </c>
      <c r="E59" s="4">
        <f>C59*Stuðlar!$A$15</f>
        <v>309.7323025442797</v>
      </c>
      <c r="F59" s="4">
        <f>C59*Stuðlar!$A$16</f>
        <v>619.4646050885594</v>
      </c>
      <c r="G59" s="4">
        <f>B59*$G$5</f>
        <v>1238.95127</v>
      </c>
      <c r="H59" s="24">
        <f>B59+(50*D59)+(50*E59)+(9*G59)</f>
        <v>157296.02765050426</v>
      </c>
      <c r="I59" s="24">
        <f>B59+(61*D59)+(50*E59)+(9*G59)</f>
        <v>159794.5348910281</v>
      </c>
    </row>
    <row r="60" spans="1:9" ht="15">
      <c r="A60" s="4" t="s">
        <v>42</v>
      </c>
      <c r="B60" s="4">
        <f>119162+Stuðlar!J8+Stuðlar!J9+Stuðlar!J10</f>
        <v>139162</v>
      </c>
      <c r="C60" s="4">
        <f>B60/$C$5</f>
        <v>802.8731321756187</v>
      </c>
      <c r="D60" s="4">
        <f>C60*Stuðlar!$A$14</f>
        <v>264.94813361795417</v>
      </c>
      <c r="E60" s="4">
        <f>C60*Stuðlar!$A$15</f>
        <v>361.2929094790284</v>
      </c>
      <c r="F60" s="4">
        <f>C60*Stuðlar!$A$16</f>
        <v>722.5858189580568</v>
      </c>
      <c r="G60" s="4">
        <f>B60*$G$5</f>
        <v>1445.19737</v>
      </c>
      <c r="H60" s="24">
        <f>B60+(50*D60)+(50*E60)+(9*G60)</f>
        <v>183480.8284848491</v>
      </c>
      <c r="I60" s="24">
        <f>B60+(61*D60)+(50*E60)+(9*G60)</f>
        <v>186395.2579546466</v>
      </c>
    </row>
    <row r="61" spans="1:9" ht="15.75" thickBot="1">
      <c r="A61" s="29" t="s">
        <v>43</v>
      </c>
      <c r="B61" s="29">
        <f>129093+Stuðlar!J8+Stuðlar!J9+Stuðlar!J10</f>
        <v>149093</v>
      </c>
      <c r="C61" s="29">
        <f>B61/$C$5</f>
        <v>860.1684647781688</v>
      </c>
      <c r="D61" s="29">
        <f>C61*Stuðlar!$A$14</f>
        <v>283.8555933767957</v>
      </c>
      <c r="E61" s="29">
        <f>C61*Stuðlar!$A$15</f>
        <v>387.0758091501759</v>
      </c>
      <c r="F61" s="29">
        <f>C61*Stuðlar!$A$16</f>
        <v>774.1516183003519</v>
      </c>
      <c r="G61" s="29">
        <f>B61*$G$5</f>
        <v>1548.330805</v>
      </c>
      <c r="H61" s="30">
        <f>B61+(50*D61)+(50*E61)+(9*G61)</f>
        <v>196574.54737134857</v>
      </c>
      <c r="I61" s="30">
        <f>B61+(61*D61)+(50*E61)+(9*G61)</f>
        <v>199696.95889849332</v>
      </c>
    </row>
    <row r="62" spans="1:9" ht="15.75" thickTop="1">
      <c r="A62" s="25"/>
      <c r="B62" s="25"/>
      <c r="C62" s="25"/>
      <c r="D62" s="25"/>
      <c r="E62" s="25"/>
      <c r="F62" s="25"/>
      <c r="G62" s="25"/>
      <c r="H62" s="25"/>
      <c r="I62" s="25"/>
    </row>
    <row r="63" ht="15">
      <c r="A63" s="5" t="s">
        <v>44</v>
      </c>
    </row>
    <row r="64" spans="3:9" ht="15">
      <c r="C64" s="7" t="s">
        <v>20</v>
      </c>
      <c r="D64" s="65" t="s">
        <v>46</v>
      </c>
      <c r="E64" s="66"/>
      <c r="F64" s="67"/>
      <c r="G64" s="7" t="s">
        <v>21</v>
      </c>
      <c r="H64" s="74" t="s">
        <v>45</v>
      </c>
      <c r="I64" s="75"/>
    </row>
    <row r="65" spans="2:9" ht="15">
      <c r="B65" s="8" t="s">
        <v>37</v>
      </c>
      <c r="C65" s="9">
        <v>173.33</v>
      </c>
      <c r="D65" s="20">
        <v>0.33</v>
      </c>
      <c r="E65" s="10">
        <v>0.45</v>
      </c>
      <c r="F65" s="21">
        <v>0.9</v>
      </c>
      <c r="G65" s="11">
        <v>0.010385</v>
      </c>
      <c r="H65" s="22" t="s">
        <v>24</v>
      </c>
      <c r="I65" s="22" t="s">
        <v>25</v>
      </c>
    </row>
    <row r="66" spans="1:9" ht="15">
      <c r="A66" s="4" t="s">
        <v>55</v>
      </c>
      <c r="B66" s="15">
        <f>89372+Stuðlar!J8+Stuðlar!J9+Stuðlar!J10</f>
        <v>109372</v>
      </c>
      <c r="C66" s="4">
        <f>B66/$C$5</f>
        <v>631.0044423931229</v>
      </c>
      <c r="D66" s="4">
        <f>C66*Stuðlar!$A$14</f>
        <v>208.23146598973057</v>
      </c>
      <c r="E66" s="4">
        <f>C66*Stuðlar!$A$15</f>
        <v>283.9519990769053</v>
      </c>
      <c r="F66" s="4">
        <f>C66*Stuðlar!$A$16</f>
        <v>567.9039981538106</v>
      </c>
      <c r="G66" s="4">
        <v>1239</v>
      </c>
      <c r="H66" s="24">
        <f>B66+(50*D66)+(50*E66)+(9*G66)</f>
        <v>145132.1732533318</v>
      </c>
      <c r="I66" s="24">
        <f>B66+(61*D66)+(50*E66)+(9*G66)</f>
        <v>147422.71937921882</v>
      </c>
    </row>
    <row r="67" spans="1:9" ht="15">
      <c r="A67" s="4" t="s">
        <v>41</v>
      </c>
      <c r="B67" s="15">
        <f>99302+Stuðlar!J8+Stuðlar!J9+Stuðlar!J10</f>
        <v>119302</v>
      </c>
      <c r="C67" s="4">
        <f>B67/$C$5</f>
        <v>688.2940056539549</v>
      </c>
      <c r="D67" s="4">
        <f>C67*Stuðlar!$A$14</f>
        <v>227.1370218658051</v>
      </c>
      <c r="E67" s="4">
        <f>C67*Stuðlar!$A$15</f>
        <v>309.7323025442797</v>
      </c>
      <c r="F67" s="4">
        <f>C67*Stuðlar!$A$16</f>
        <v>619.4646050885594</v>
      </c>
      <c r="G67" s="4">
        <f>B67*$G$5</f>
        <v>1238.95127</v>
      </c>
      <c r="H67" s="24">
        <f>B67+(50*D67)+(50*E67)+(9*G67)</f>
        <v>157296.02765050426</v>
      </c>
      <c r="I67" s="24">
        <f>B67+(61*D67)+(50*E67)+(9*G67)</f>
        <v>159794.5348910281</v>
      </c>
    </row>
    <row r="68" spans="1:9" ht="15.75" thickBot="1">
      <c r="A68" s="29" t="s">
        <v>42</v>
      </c>
      <c r="B68" s="36">
        <f>124128+Stuðlar!J8+Stuðlar!J9+Stuðlar!J10</f>
        <v>144128</v>
      </c>
      <c r="C68" s="29">
        <f>B68/$C$5</f>
        <v>831.5236831477528</v>
      </c>
      <c r="D68" s="29">
        <f>C68*Stuðlar!$A$14</f>
        <v>274.4028154387584</v>
      </c>
      <c r="E68" s="29">
        <f>C68*Stuðlar!$A$15</f>
        <v>374.18565741648877</v>
      </c>
      <c r="F68" s="29">
        <f>C68*Stuðlar!$A$16</f>
        <v>748.3713148329775</v>
      </c>
      <c r="G68" s="29">
        <f>B68*$G$5</f>
        <v>1496.76928</v>
      </c>
      <c r="H68" s="30">
        <f>B68+(50*D68)+(50*E68)+(9*G68)</f>
        <v>190028.34716276237</v>
      </c>
      <c r="I68" s="30">
        <f>B68+(61*D68)+(50*E68)+(9*G68)</f>
        <v>193046.77813258872</v>
      </c>
    </row>
    <row r="69" spans="9:10" ht="15.75" thickTop="1">
      <c r="I69" s="25"/>
      <c r="J69" s="25"/>
    </row>
    <row r="70" spans="4:8" ht="15">
      <c r="D70" s="5" t="s">
        <v>57</v>
      </c>
      <c r="E70" s="5" t="s">
        <v>58</v>
      </c>
      <c r="F70" s="5" t="s">
        <v>59</v>
      </c>
      <c r="G70" s="5" t="s">
        <v>60</v>
      </c>
      <c r="H70" s="5" t="s">
        <v>61</v>
      </c>
    </row>
    <row r="71" spans="1:8" ht="15">
      <c r="A71" s="5" t="s">
        <v>62</v>
      </c>
      <c r="D71" s="4">
        <v>6076</v>
      </c>
      <c r="E71" s="4">
        <v>6076</v>
      </c>
      <c r="H71" s="4">
        <v>6076</v>
      </c>
    </row>
    <row r="72" spans="1:5" ht="15">
      <c r="A72" s="4" t="s">
        <v>63</v>
      </c>
      <c r="D72" s="4">
        <v>2010</v>
      </c>
      <c r="E72" s="4">
        <v>25800</v>
      </c>
    </row>
    <row r="73" spans="1:5" ht="15">
      <c r="A73" s="4" t="s">
        <v>64</v>
      </c>
      <c r="D73" s="4">
        <v>2010</v>
      </c>
      <c r="E73" s="4">
        <v>47000</v>
      </c>
    </row>
    <row r="74" ht="15">
      <c r="A74" s="4" t="s">
        <v>65</v>
      </c>
    </row>
  </sheetData>
  <sheetProtection/>
  <mergeCells count="13">
    <mergeCell ref="D64:F64"/>
    <mergeCell ref="H64:I64"/>
    <mergeCell ref="I8:J8"/>
    <mergeCell ref="A52:J52"/>
    <mergeCell ref="D55:F55"/>
    <mergeCell ref="H55:I55"/>
    <mergeCell ref="A1:J1"/>
    <mergeCell ref="D4:F4"/>
    <mergeCell ref="I4:J4"/>
    <mergeCell ref="D16:F16"/>
    <mergeCell ref="I16:J16"/>
    <mergeCell ref="D32:F32"/>
    <mergeCell ref="I32:J32"/>
  </mergeCells>
  <printOptions/>
  <pageMargins left="0.75" right="0.75" top="1" bottom="1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36">
      <selection activeCell="J69" sqref="J69"/>
    </sheetView>
  </sheetViews>
  <sheetFormatPr defaultColWidth="11.421875" defaultRowHeight="15"/>
  <cols>
    <col min="1" max="1" width="7.28125" style="4" customWidth="1"/>
    <col min="2" max="2" width="10.140625" style="4" customWidth="1"/>
    <col min="3" max="4" width="6.7109375" style="4" bestFit="1" customWidth="1"/>
    <col min="5" max="5" width="6.8515625" style="4" bestFit="1" customWidth="1"/>
    <col min="6" max="6" width="6.421875" style="4" bestFit="1" customWidth="1"/>
    <col min="7" max="7" width="8.28125" style="4" bestFit="1" customWidth="1"/>
    <col min="8" max="8" width="8.28125" style="4" customWidth="1"/>
    <col min="9" max="9" width="9.28125" style="4" customWidth="1"/>
    <col min="10" max="10" width="8.140625" style="4" bestFit="1" customWidth="1"/>
    <col min="11" max="13" width="11.421875" style="4" customWidth="1"/>
    <col min="14" max="14" width="12.28125" style="4" customWidth="1"/>
    <col min="15" max="16384" width="11.421875" style="4" customWidth="1"/>
  </cols>
  <sheetData>
    <row r="1" spans="1:10" ht="23.25">
      <c r="A1" s="70" t="s">
        <v>82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4" ht="15">
      <c r="A3" s="5" t="s">
        <v>73</v>
      </c>
      <c r="B3" s="5"/>
      <c r="C3" s="5"/>
      <c r="D3" s="5"/>
    </row>
    <row r="4" spans="1:10" ht="15">
      <c r="A4" s="6"/>
      <c r="B4" s="6"/>
      <c r="C4" s="7" t="s">
        <v>20</v>
      </c>
      <c r="D4" s="65" t="s">
        <v>46</v>
      </c>
      <c r="E4" s="72"/>
      <c r="F4" s="73"/>
      <c r="G4" s="7" t="s">
        <v>21</v>
      </c>
      <c r="H4" s="7" t="s">
        <v>22</v>
      </c>
      <c r="I4" s="74" t="s">
        <v>45</v>
      </c>
      <c r="J4" s="75"/>
    </row>
    <row r="5" spans="1:10" ht="15">
      <c r="A5" s="8"/>
      <c r="B5" s="8" t="s">
        <v>23</v>
      </c>
      <c r="C5" s="9">
        <v>173.33</v>
      </c>
      <c r="D5" s="20">
        <v>0.33</v>
      </c>
      <c r="E5" s="10">
        <v>0.45</v>
      </c>
      <c r="F5" s="21">
        <v>0.9</v>
      </c>
      <c r="G5" s="11">
        <v>0.010385</v>
      </c>
      <c r="H5" s="38">
        <v>0.01375</v>
      </c>
      <c r="I5" s="22" t="s">
        <v>24</v>
      </c>
      <c r="J5" s="22" t="s">
        <v>25</v>
      </c>
    </row>
    <row r="6" spans="1:10" ht="15">
      <c r="A6" s="4" t="s">
        <v>48</v>
      </c>
      <c r="B6" s="4">
        <v>191017</v>
      </c>
      <c r="C6" s="4">
        <f>B6/$C$5</f>
        <v>1102.042346968211</v>
      </c>
      <c r="D6" s="4">
        <f>C6*Stuðlar!$A$14</f>
        <v>363.67397449950965</v>
      </c>
      <c r="E6" s="4">
        <f>C6*Stuðlar!$A$15</f>
        <v>495.9190561356949</v>
      </c>
      <c r="F6" s="4">
        <f>C6*Stuðlar!$A$16</f>
        <v>991.8381122713898</v>
      </c>
      <c r="G6" s="4">
        <f>B6*$G$5</f>
        <v>1983.7115450000001</v>
      </c>
      <c r="H6" s="4">
        <f>B6*$H$5</f>
        <v>2626.48375</v>
      </c>
      <c r="I6" s="24">
        <f>B6+(50*D6)+(50*E6)+(9*G6)</f>
        <v>251850.05543676025</v>
      </c>
      <c r="J6" s="24">
        <f>B6+(61*D6)+(50*E6)+(9*G6)</f>
        <v>255850.46915625484</v>
      </c>
    </row>
    <row r="7" spans="8:11" ht="15">
      <c r="H7" s="25"/>
      <c r="I7" s="25"/>
      <c r="J7" s="25"/>
      <c r="K7" s="25"/>
    </row>
    <row r="8" spans="1:10" s="5" customFormat="1" ht="15">
      <c r="A8" s="5" t="s">
        <v>47</v>
      </c>
      <c r="I8" s="74" t="s">
        <v>45</v>
      </c>
      <c r="J8" s="75"/>
    </row>
    <row r="9" spans="1:10" ht="15">
      <c r="A9" s="4" t="s">
        <v>1</v>
      </c>
      <c r="B9" s="4">
        <v>215944</v>
      </c>
      <c r="C9" s="4">
        <f>B9/$C$5</f>
        <v>1245.8547279755378</v>
      </c>
      <c r="D9" s="4">
        <f>C9*Stuðlar!$A$14</f>
        <v>411.1320602319275</v>
      </c>
      <c r="E9" s="4">
        <f>C9*Stuðlar!$A$15</f>
        <v>560.634627588992</v>
      </c>
      <c r="F9" s="4">
        <f>C9*Stuðlar!$A$16</f>
        <v>1121.269255177984</v>
      </c>
      <c r="G9" s="4">
        <f>B9*$G$5</f>
        <v>2242.5784400000002</v>
      </c>
      <c r="H9" s="4">
        <f>B9*$H$5</f>
        <v>2969.23</v>
      </c>
      <c r="I9" s="24">
        <f>B9+(50*D9)+(50*E9)+(9*G9)</f>
        <v>284715.54035104596</v>
      </c>
      <c r="J9" s="24">
        <f>B9+(61*D9)+(50*E9)+(9*G9)</f>
        <v>289237.99301359715</v>
      </c>
    </row>
    <row r="10" spans="1:10" ht="15">
      <c r="A10" s="4" t="s">
        <v>53</v>
      </c>
      <c r="B10" s="4">
        <v>219584</v>
      </c>
      <c r="C10" s="4">
        <f>B10/$C$5</f>
        <v>1266.855131829458</v>
      </c>
      <c r="D10" s="4">
        <f>C10*Stuðlar!$A$14</f>
        <v>418.0621935037212</v>
      </c>
      <c r="E10" s="4">
        <f>C10*Stuðlar!$A$15</f>
        <v>570.0848093232562</v>
      </c>
      <c r="F10" s="4">
        <f>C10*Stuðlar!$A$16</f>
        <v>1140.1696186465124</v>
      </c>
      <c r="G10" s="4">
        <f>B10*$G$5</f>
        <v>2280.37984</v>
      </c>
      <c r="H10" s="4">
        <f>B10*$H$5</f>
        <v>3019.28</v>
      </c>
      <c r="I10" s="24">
        <f>B10+(50*D10)+(50*E10)+(9*G10)</f>
        <v>289514.76870134886</v>
      </c>
      <c r="J10" s="24">
        <f>B10+(61*D10)+(50*E10)+(9*G10)</f>
        <v>294113.45282988984</v>
      </c>
    </row>
    <row r="11" spans="9:10" ht="15">
      <c r="I11" s="25"/>
      <c r="J11" s="25"/>
    </row>
    <row r="12" spans="1:10" s="5" customFormat="1" ht="15">
      <c r="A12" s="5" t="s">
        <v>27</v>
      </c>
      <c r="I12" s="6"/>
      <c r="J12" s="6"/>
    </row>
    <row r="13" spans="1:10" ht="15.75" thickBot="1">
      <c r="A13" s="29"/>
      <c r="B13" s="29">
        <f>Stuðlar!E5+Stuðlar!I8+Stuðlar!I9+Stuðlar!I10+Stuðlar!I11</f>
        <v>228029</v>
      </c>
      <c r="C13" s="29"/>
      <c r="D13" s="29"/>
      <c r="E13" s="29"/>
      <c r="F13" s="29"/>
      <c r="G13" s="29"/>
      <c r="H13" s="29"/>
      <c r="I13" s="29"/>
      <c r="J13" s="29"/>
    </row>
    <row r="14" spans="9:10" ht="15.75" thickTop="1">
      <c r="I14" s="25"/>
      <c r="J14" s="25"/>
    </row>
    <row r="15" spans="1:10" s="5" customFormat="1" ht="15">
      <c r="A15" s="5" t="s">
        <v>28</v>
      </c>
      <c r="I15" s="6"/>
      <c r="J15" s="6"/>
    </row>
    <row r="16" spans="3:10" s="5" customFormat="1" ht="15">
      <c r="C16" s="7" t="s">
        <v>20</v>
      </c>
      <c r="D16" s="65" t="s">
        <v>46</v>
      </c>
      <c r="E16" s="72"/>
      <c r="F16" s="73"/>
      <c r="G16" s="7" t="s">
        <v>21</v>
      </c>
      <c r="H16" s="7" t="s">
        <v>22</v>
      </c>
      <c r="I16" s="74" t="s">
        <v>45</v>
      </c>
      <c r="J16" s="75"/>
    </row>
    <row r="17" spans="2:10" s="5" customFormat="1" ht="15">
      <c r="B17" s="8" t="s">
        <v>23</v>
      </c>
      <c r="C17" s="9">
        <v>173.33</v>
      </c>
      <c r="D17" s="20">
        <v>0.33</v>
      </c>
      <c r="E17" s="10">
        <v>0.45</v>
      </c>
      <c r="F17" s="21">
        <v>0.9</v>
      </c>
      <c r="G17" s="11">
        <v>0.010385</v>
      </c>
      <c r="H17" s="38">
        <v>0.01375</v>
      </c>
      <c r="I17" s="22" t="s">
        <v>24</v>
      </c>
      <c r="J17" s="22" t="s">
        <v>25</v>
      </c>
    </row>
    <row r="18" spans="1:10" ht="15">
      <c r="A18" s="4" t="s">
        <v>1</v>
      </c>
      <c r="B18" s="4">
        <f>Stuðlar!E6+Stuðlar!$I$6+Stuðlar!$I$8+Stuðlar!$I$9+Stuðlar!I10+Stuðlar!I11</f>
        <v>238604.13139999998</v>
      </c>
      <c r="C18" s="4">
        <f>B18/$C$5</f>
        <v>1376.5887693994114</v>
      </c>
      <c r="D18" s="4">
        <f>C18*Stuðlar!$A$14</f>
        <v>454.2742939018058</v>
      </c>
      <c r="E18" s="4">
        <f>C18*Stuðlar!$A$15</f>
        <v>619.4649462297351</v>
      </c>
      <c r="F18" s="4">
        <f>C18*Stuðlar!$A$16</f>
        <v>1238.9298924594702</v>
      </c>
      <c r="G18" s="4">
        <f>B18*$G$5</f>
        <v>2477.903904589</v>
      </c>
      <c r="H18" s="4">
        <f>B18*$H$5</f>
        <v>3280.80680675</v>
      </c>
      <c r="I18" s="24">
        <f>B18+(50*D18)+(50*E18)+(9*G18)</f>
        <v>314592.228547878</v>
      </c>
      <c r="J18" s="24">
        <f>B18+(61*D18)+(50*E18)+(9*G18)</f>
        <v>319589.2457807979</v>
      </c>
    </row>
    <row r="19" spans="1:10" ht="15">
      <c r="A19" s="4" t="s">
        <v>53</v>
      </c>
      <c r="B19" s="4">
        <f>Stuðlar!E7+Stuðlar!$I$6+Stuðlar!$I$8+Stuðlar!$I$9+Stuðlar!I10+Stuðlar!I11</f>
        <v>242648.5224</v>
      </c>
      <c r="C19" s="4">
        <f>B19/$C$5</f>
        <v>1399.9222431200599</v>
      </c>
      <c r="D19" s="4">
        <f>C19*Stuðlar!$A$14</f>
        <v>461.97434022961977</v>
      </c>
      <c r="E19" s="4">
        <f>C19*Stuðlar!$A$15</f>
        <v>629.965009404027</v>
      </c>
      <c r="F19" s="4">
        <f>C19*Stuðlar!$A$16</f>
        <v>1259.930018808054</v>
      </c>
      <c r="G19" s="4">
        <f>B19*$G$5</f>
        <v>2519.904905124</v>
      </c>
      <c r="H19" s="4">
        <f>B19*$H$5</f>
        <v>3336.417183</v>
      </c>
      <c r="I19" s="24">
        <f>B19+(50*D19)+(50*E19)+(9*G19)</f>
        <v>319924.6340277983</v>
      </c>
      <c r="J19" s="24">
        <f>B19+(61*D19)+(50*E19)+(9*G19)</f>
        <v>325006.35177032417</v>
      </c>
    </row>
    <row r="20" spans="1:10" ht="15">
      <c r="A20" s="4" t="s">
        <v>84</v>
      </c>
      <c r="B20" s="4">
        <f>Stuðlar!E8+Stuðlar!$I$6+Stuðlar!$I$8+Stuðlar!$I$9+Stuðlar!I10+Stuðlar!I11</f>
        <v>246794.155</v>
      </c>
      <c r="C20" s="4">
        <f>B20/$C$5</f>
        <v>1423.8398142271965</v>
      </c>
      <c r="D20" s="4">
        <f>C20*Stuðlar!$A$14</f>
        <v>469.86713869497487</v>
      </c>
      <c r="E20" s="4">
        <f>C20*Stuðlar!$A$15</f>
        <v>640.7279164022384</v>
      </c>
      <c r="F20" s="4">
        <f>C20*Stuðlar!$A$16</f>
        <v>1281.4558328044768</v>
      </c>
      <c r="G20" s="4">
        <f>B20*$G$5</f>
        <v>2562.957299675</v>
      </c>
      <c r="H20" s="4">
        <f>B20*$H$5</f>
        <v>3393.41963125</v>
      </c>
      <c r="I20" s="24">
        <f>B20+(50*D20)+(50*E20)+(9*G20)</f>
        <v>325390.5234519356</v>
      </c>
      <c r="J20" s="24">
        <f>B20+(61*D20)+(50*E20)+(9*G20)</f>
        <v>330559.06197758036</v>
      </c>
    </row>
    <row r="21" spans="1:10" ht="15">
      <c r="A21" s="4" t="s">
        <v>83</v>
      </c>
      <c r="B21" s="4">
        <v>251000</v>
      </c>
      <c r="C21" s="4">
        <f>B21/$C$5</f>
        <v>1448.1047712456007</v>
      </c>
      <c r="D21" s="4">
        <f>C21*Stuðlar!$A$14</f>
        <v>477.87457451104825</v>
      </c>
      <c r="E21" s="4">
        <f>C21*Stuðlar!$A$15</f>
        <v>651.6471470605203</v>
      </c>
      <c r="F21" s="4">
        <f>C21*Stuðlar!$A$16</f>
        <v>1303.2942941210406</v>
      </c>
      <c r="G21" s="4">
        <f>B21*$G$5</f>
        <v>2606.635</v>
      </c>
      <c r="H21" s="4">
        <f>B21*$H$5</f>
        <v>3451.25</v>
      </c>
      <c r="I21" s="24">
        <f>B21+(50*D21)+(50*E21)+(9*G21)</f>
        <v>330935.80107857846</v>
      </c>
      <c r="J21" s="24">
        <f>B21+(61*D21)+(50*E21)+(9*G21)</f>
        <v>336192.4213982</v>
      </c>
    </row>
    <row r="22" spans="1:10" ht="15">
      <c r="A22" s="4" t="s">
        <v>85</v>
      </c>
      <c r="B22" s="4">
        <v>256271</v>
      </c>
      <c r="C22" s="4">
        <f>B22/$C$5</f>
        <v>1478.5149714417585</v>
      </c>
      <c r="D22" s="4">
        <f>C22*Stuðlar!$A$14</f>
        <v>487.9099405757803</v>
      </c>
      <c r="E22" s="4">
        <f>C22*Stuðlar!$A$15</f>
        <v>665.3317371487914</v>
      </c>
      <c r="F22" s="4">
        <f>C22*Stuðlar!$A$16</f>
        <v>1330.6634742975828</v>
      </c>
      <c r="G22" s="4">
        <f>B22*$G$5</f>
        <v>2661.374335</v>
      </c>
      <c r="H22" s="4">
        <f>B22*$H$5</f>
        <v>3523.72625</v>
      </c>
      <c r="I22" s="24">
        <f>B22+(50*D22)+(50*E22)+(9*G22)</f>
        <v>337885.4529012286</v>
      </c>
      <c r="J22" s="24">
        <f>B22+(61*D22)+(50*E22)+(9*G22)</f>
        <v>343252.4622475622</v>
      </c>
    </row>
    <row r="23" ht="15">
      <c r="L23" s="2"/>
    </row>
    <row r="24" s="5" customFormat="1" ht="15">
      <c r="A24" s="5" t="s">
        <v>31</v>
      </c>
    </row>
    <row r="25" spans="1:12" ht="15.75" thickBot="1">
      <c r="A25" s="29"/>
      <c r="B25" s="29">
        <v>275054</v>
      </c>
      <c r="C25" s="29">
        <f>B25/$C$5</f>
        <v>1586.8805169330178</v>
      </c>
      <c r="D25" s="29">
        <f>C25*Stuðlar!$A$14</f>
        <v>523.6705705878959</v>
      </c>
      <c r="E25" s="29">
        <f>C25*Stuðlar!$A$15</f>
        <v>714.096232619858</v>
      </c>
      <c r="F25" s="29">
        <f>C25*Stuðlar!$A$16</f>
        <v>1428.192465239716</v>
      </c>
      <c r="G25" s="29">
        <f>B25*$G$5</f>
        <v>2856.43579</v>
      </c>
      <c r="H25" s="29">
        <f>B25*$H$5</f>
        <v>3781.9925</v>
      </c>
      <c r="I25" s="29">
        <f>B25+(50*D25)+(50*E25)+(9*G25)</f>
        <v>362650.26227038767</v>
      </c>
      <c r="J25" s="29">
        <f>B25+(61*D25)+(50*E25)+(9*G25)</f>
        <v>368410.63854685455</v>
      </c>
      <c r="L25"/>
    </row>
    <row r="26" ht="15.75" thickTop="1"/>
    <row r="27" spans="1:13" s="5" customFormat="1" ht="15">
      <c r="A27" s="5" t="s">
        <v>32</v>
      </c>
      <c r="M27" s="50"/>
    </row>
    <row r="28" spans="1:13" ht="15">
      <c r="A28" s="4" t="s">
        <v>78</v>
      </c>
      <c r="M28" s="51"/>
    </row>
    <row r="29" ht="15">
      <c r="A29" s="4" t="s">
        <v>81</v>
      </c>
    </row>
    <row r="30" ht="15">
      <c r="A30" s="4" t="s">
        <v>79</v>
      </c>
    </row>
    <row r="31" ht="15">
      <c r="A31" s="4" t="s">
        <v>80</v>
      </c>
    </row>
    <row r="33" spans="1:4" ht="15">
      <c r="A33" s="5" t="s">
        <v>28</v>
      </c>
      <c r="B33" s="5"/>
      <c r="C33" s="5"/>
      <c r="D33" s="5"/>
    </row>
    <row r="34" spans="3:10" ht="15">
      <c r="C34" s="7" t="s">
        <v>20</v>
      </c>
      <c r="D34" s="65" t="s">
        <v>46</v>
      </c>
      <c r="E34" s="72"/>
      <c r="F34" s="73"/>
      <c r="G34" s="7" t="s">
        <v>21</v>
      </c>
      <c r="H34" s="7" t="s">
        <v>22</v>
      </c>
      <c r="I34" s="74" t="s">
        <v>45</v>
      </c>
      <c r="J34" s="75"/>
    </row>
    <row r="35" spans="1:10" s="5" customFormat="1" ht="15">
      <c r="A35" s="8"/>
      <c r="B35" s="8" t="s">
        <v>23</v>
      </c>
      <c r="C35" s="9">
        <v>173.33</v>
      </c>
      <c r="D35" s="20">
        <v>0.33</v>
      </c>
      <c r="E35" s="10">
        <v>0.45</v>
      </c>
      <c r="F35" s="21">
        <v>0.9</v>
      </c>
      <c r="G35" s="11">
        <v>0.010385</v>
      </c>
      <c r="H35" s="38">
        <v>0.01375</v>
      </c>
      <c r="I35" s="22" t="s">
        <v>24</v>
      </c>
      <c r="J35" s="22" t="s">
        <v>25</v>
      </c>
    </row>
    <row r="36" spans="1:10" ht="15">
      <c r="A36" s="4" t="s">
        <v>53</v>
      </c>
      <c r="B36" s="4">
        <f>B19*Stuðlar!$A$5</f>
        <v>279045.80075999995</v>
      </c>
      <c r="C36" s="4">
        <f>B36/$C$5</f>
        <v>1609.9105795880687</v>
      </c>
      <c r="D36" s="4">
        <f>C36*Stuðlar!$A$14</f>
        <v>531.2704912640627</v>
      </c>
      <c r="E36" s="4">
        <f>C36*Stuðlar!$A$15</f>
        <v>724.459760814631</v>
      </c>
      <c r="F36" s="4">
        <f>C36*Stuðlar!$A$16</f>
        <v>1448.919521629262</v>
      </c>
      <c r="G36" s="4">
        <f>B36*$G$5</f>
        <v>2897.8906408925995</v>
      </c>
      <c r="H36" s="4">
        <f>B36*$H$5</f>
        <v>3836.8797604499996</v>
      </c>
      <c r="I36" s="24">
        <f>B36+(50*D36)+(50*E36)+(9*G36)</f>
        <v>367913.329131968</v>
      </c>
      <c r="J36" s="24">
        <f>B36+(61*D36)+(50*E36)+(9*G36)</f>
        <v>373757.3045358727</v>
      </c>
    </row>
    <row r="37" spans="1:10" ht="15">
      <c r="A37" s="4" t="s">
        <v>84</v>
      </c>
      <c r="B37" s="4">
        <f>B20*Stuðlar!$A$5</f>
        <v>283813.27825</v>
      </c>
      <c r="C37" s="4">
        <f>B37/$C$5</f>
        <v>1637.4157863612759</v>
      </c>
      <c r="D37" s="4">
        <f>C37*Stuðlar!$A$14</f>
        <v>540.3472094992211</v>
      </c>
      <c r="E37" s="4">
        <f>C37*Stuðlar!$A$15</f>
        <v>736.8371038625742</v>
      </c>
      <c r="F37" s="4">
        <f>C37*Stuðlar!$A$16</f>
        <v>1473.6742077251483</v>
      </c>
      <c r="G37" s="4">
        <f>B37*$G$5</f>
        <v>2947.4008946262497</v>
      </c>
      <c r="H37" s="4">
        <f>B37*$H$5</f>
        <v>3902.4325759374997</v>
      </c>
      <c r="I37" s="24">
        <f>B37+(50*D37)+(50*E37)+(9*G37)</f>
        <v>374199.101969726</v>
      </c>
      <c r="J37" s="24">
        <f>B37+(61*D37)+(50*E37)+(9*G37)</f>
        <v>380142.9212742174</v>
      </c>
    </row>
    <row r="38" spans="1:10" ht="15">
      <c r="A38" s="4" t="s">
        <v>86</v>
      </c>
      <c r="B38" s="4">
        <f>B21*Stuðlar!$A$5</f>
        <v>288650</v>
      </c>
      <c r="C38" s="4">
        <f>B38/$C$5</f>
        <v>1665.3204869324409</v>
      </c>
      <c r="D38" s="4">
        <f>C38*Stuðlar!$A$14</f>
        <v>549.5557606877055</v>
      </c>
      <c r="E38" s="4">
        <f>C38*Stuðlar!$A$15</f>
        <v>749.3942191195985</v>
      </c>
      <c r="F38" s="4">
        <f>C38*Stuðlar!$A$16</f>
        <v>1498.788438239197</v>
      </c>
      <c r="G38" s="4">
        <f>B38*$G$5</f>
        <v>2997.63025</v>
      </c>
      <c r="H38" s="4">
        <f>B38*$H$5</f>
        <v>3968.9375</v>
      </c>
      <c r="I38" s="24">
        <f>B38+(50*D38)+(50*E38)+(9*G38)</f>
        <v>380576.17124036525</v>
      </c>
      <c r="J38" s="24">
        <f>B38+(61*D38)+(50*E38)+(9*G38)</f>
        <v>386621.28460793</v>
      </c>
    </row>
    <row r="39" spans="1:10" ht="15">
      <c r="A39" s="4" t="s">
        <v>87</v>
      </c>
      <c r="B39" s="4">
        <f>B22*Stuðlar!$A$5</f>
        <v>294711.64999999997</v>
      </c>
      <c r="C39" s="4">
        <f>B39/$C$5</f>
        <v>1700.292217158022</v>
      </c>
      <c r="D39" s="4">
        <f>C39*Stuðlar!$A$14</f>
        <v>561.0964316621472</v>
      </c>
      <c r="E39" s="4">
        <f>C39*Stuðlar!$A$15</f>
        <v>765.1314977211099</v>
      </c>
      <c r="F39" s="4">
        <f>C39*Stuðlar!$A$16</f>
        <v>1530.2629954422198</v>
      </c>
      <c r="G39" s="4">
        <f>B39*$G$5</f>
        <v>3060.5804852499996</v>
      </c>
      <c r="H39" s="4">
        <f>B39*$H$5</f>
        <v>4052.2851874999997</v>
      </c>
      <c r="I39" s="24">
        <f>B39+(50*D39)+(50*E39)+(9*G39)</f>
        <v>388568.2708364128</v>
      </c>
      <c r="J39" s="24">
        <f>B39+(61*D39)+(50*E39)+(9*G39)</f>
        <v>394740.3315846964</v>
      </c>
    </row>
    <row r="40" spans="9:10" ht="15">
      <c r="I40" s="25"/>
      <c r="J40" s="25"/>
    </row>
    <row r="41" spans="1:11" s="5" customFormat="1" ht="15">
      <c r="A41" s="5" t="s">
        <v>31</v>
      </c>
      <c r="I41" s="44"/>
      <c r="J41" s="6"/>
      <c r="K41" s="6"/>
    </row>
    <row r="42" spans="1:10" ht="15.75" thickBot="1">
      <c r="A42" s="29"/>
      <c r="B42" s="29">
        <f>B25*Stuðlar!$A$5</f>
        <v>316312.1</v>
      </c>
      <c r="C42" s="29">
        <f>B42/$C$5</f>
        <v>1824.9125944729703</v>
      </c>
      <c r="D42" s="29">
        <f>C42*Stuðlar!$A$14</f>
        <v>602.2211561760803</v>
      </c>
      <c r="E42" s="29">
        <f>C42*Stuðlar!$A$15</f>
        <v>821.2106675128367</v>
      </c>
      <c r="F42" s="29">
        <f>C42*Stuðlar!$A$16</f>
        <v>1642.4213350256734</v>
      </c>
      <c r="G42" s="29">
        <f>B42*$G$5</f>
        <v>3284.9011585</v>
      </c>
      <c r="H42" s="29">
        <f>B42*$H$5</f>
        <v>4349.291375</v>
      </c>
      <c r="I42" s="30">
        <f>B42+(50*D42)+(50*E42)+(9*G42)</f>
        <v>417047.80161094584</v>
      </c>
      <c r="J42" s="30">
        <f>B42+(61*D42)+(50*E42)+(9*G42)</f>
        <v>423672.2343288827</v>
      </c>
    </row>
    <row r="43" ht="15.75" thickTop="1"/>
    <row r="44" spans="1:8" ht="15">
      <c r="A44" s="26"/>
      <c r="B44" s="26"/>
      <c r="C44" s="26"/>
      <c r="D44" s="32" t="s">
        <v>57</v>
      </c>
      <c r="E44" s="32" t="s">
        <v>58</v>
      </c>
      <c r="F44" s="32" t="s">
        <v>59</v>
      </c>
      <c r="G44" s="32" t="s">
        <v>60</v>
      </c>
      <c r="H44" s="32" t="s">
        <v>61</v>
      </c>
    </row>
    <row r="45" spans="1:8" ht="15">
      <c r="A45" s="31" t="s">
        <v>62</v>
      </c>
      <c r="B45" s="26"/>
      <c r="C45" s="26"/>
      <c r="D45" s="4">
        <v>6027</v>
      </c>
      <c r="E45" s="4">
        <v>6027</v>
      </c>
      <c r="H45" s="4">
        <v>6027</v>
      </c>
    </row>
    <row r="46" spans="1:13" ht="15">
      <c r="A46" s="4" t="s">
        <v>68</v>
      </c>
      <c r="C46" s="53">
        <v>2011</v>
      </c>
      <c r="D46" s="4">
        <v>26900</v>
      </c>
      <c r="M46" s="5"/>
    </row>
    <row r="47" spans="1:4" ht="15">
      <c r="A47" s="4" t="s">
        <v>64</v>
      </c>
      <c r="C47" s="53">
        <v>2011</v>
      </c>
      <c r="D47" s="4">
        <v>48800</v>
      </c>
    </row>
    <row r="48" spans="1:3" ht="15">
      <c r="A48" s="26"/>
      <c r="C48" s="27"/>
    </row>
    <row r="49" spans="1:8" ht="15">
      <c r="A49" s="26"/>
      <c r="C49" s="27"/>
      <c r="D49" s="28"/>
      <c r="E49" s="28"/>
      <c r="F49" s="26"/>
      <c r="G49" s="26"/>
      <c r="H49" s="26"/>
    </row>
    <row r="50" spans="1:8" ht="15">
      <c r="A50" s="26"/>
      <c r="C50" s="27"/>
      <c r="D50" s="28"/>
      <c r="E50" s="28"/>
      <c r="F50" s="26"/>
      <c r="G50" s="26"/>
      <c r="H50" s="26"/>
    </row>
    <row r="51" ht="16.5" customHeight="1"/>
    <row r="52" ht="16.5" customHeight="1"/>
    <row r="53" ht="14.25" customHeight="1"/>
    <row r="55" spans="1:10" ht="21">
      <c r="A55" s="71" t="s">
        <v>90</v>
      </c>
      <c r="B55" s="71"/>
      <c r="C55" s="71"/>
      <c r="D55" s="71"/>
      <c r="E55" s="71"/>
      <c r="F55" s="71"/>
      <c r="G55" s="71"/>
      <c r="H55" s="71"/>
      <c r="I55" s="71"/>
      <c r="J55" s="71"/>
    </row>
    <row r="57" s="5" customFormat="1" ht="15">
      <c r="A57" s="5" t="s">
        <v>39</v>
      </c>
    </row>
    <row r="58" spans="3:10" ht="15">
      <c r="C58" s="7" t="s">
        <v>20</v>
      </c>
      <c r="D58" s="65" t="s">
        <v>46</v>
      </c>
      <c r="E58" s="66"/>
      <c r="F58" s="67"/>
      <c r="G58" s="7" t="s">
        <v>21</v>
      </c>
      <c r="H58" s="68" t="s">
        <v>45</v>
      </c>
      <c r="I58" s="68"/>
      <c r="J58" s="5" t="s">
        <v>88</v>
      </c>
    </row>
    <row r="59" spans="2:10" ht="15">
      <c r="B59" s="8" t="s">
        <v>37</v>
      </c>
      <c r="C59" s="9">
        <v>173.33</v>
      </c>
      <c r="D59" s="20">
        <v>0.33</v>
      </c>
      <c r="E59" s="10">
        <v>0.45</v>
      </c>
      <c r="F59" s="21">
        <v>0.9</v>
      </c>
      <c r="G59" s="11">
        <v>0.010385</v>
      </c>
      <c r="H59" s="22" t="s">
        <v>24</v>
      </c>
      <c r="I59" s="22" t="s">
        <v>25</v>
      </c>
      <c r="J59" s="5" t="s">
        <v>89</v>
      </c>
    </row>
    <row r="60" spans="8:9" ht="15">
      <c r="H60" s="24"/>
      <c r="I60" s="24"/>
    </row>
    <row r="61" spans="1:10" ht="15">
      <c r="A61" s="4" t="s">
        <v>40</v>
      </c>
      <c r="B61" s="4">
        <v>121372</v>
      </c>
      <c r="C61" s="51">
        <f>B61/$C$5</f>
        <v>700.2365430104425</v>
      </c>
      <c r="D61" s="51">
        <f>C61*Stuðlar!$A$14</f>
        <v>231.07805919344602</v>
      </c>
      <c r="E61" s="51">
        <f>C61*Stuðlar!$A$15</f>
        <v>315.10644435469914</v>
      </c>
      <c r="F61" s="51">
        <f>C61*Stuðlar!$A$16</f>
        <v>630.2128887093983</v>
      </c>
      <c r="G61" s="51">
        <v>1363.57</v>
      </c>
      <c r="H61" s="24">
        <f>B61+(50*D61)+(50*E61)+(9*G61)</f>
        <v>160953.35517740727</v>
      </c>
      <c r="I61" s="24">
        <f>B61+(61*D61)+(50*E61)+(9*G61)</f>
        <v>163495.21382853517</v>
      </c>
      <c r="J61" s="51">
        <v>1463.57</v>
      </c>
    </row>
    <row r="62" spans="1:10" ht="15">
      <c r="A62" s="4" t="s">
        <v>41</v>
      </c>
      <c r="B62" s="4">
        <v>131302</v>
      </c>
      <c r="C62" s="51">
        <f>B62/$C$5</f>
        <v>757.5261062712744</v>
      </c>
      <c r="D62" s="51">
        <f>C62*Stuðlar!$A$14</f>
        <v>249.98361506952057</v>
      </c>
      <c r="E62" s="51">
        <f>C62*Stuðlar!$A$15</f>
        <v>340.8867478220735</v>
      </c>
      <c r="F62" s="51">
        <f>C62*Stuðlar!$A$16</f>
        <v>681.773495644147</v>
      </c>
      <c r="G62" s="51">
        <f>B62*$G$5</f>
        <v>1363.57127</v>
      </c>
      <c r="H62" s="24">
        <f>B62+(50*D62)+(50*E62)+(9*G62)</f>
        <v>173117.65957457968</v>
      </c>
      <c r="I62" s="24">
        <f>B62+(61*D62)+(50*E62)+(9*G62)</f>
        <v>175867.4793403444</v>
      </c>
      <c r="J62" s="51">
        <v>1563.58</v>
      </c>
    </row>
    <row r="63" spans="1:10" ht="15">
      <c r="A63" s="4" t="s">
        <v>42</v>
      </c>
      <c r="B63" s="4">
        <v>151162</v>
      </c>
      <c r="C63" s="51">
        <f>B63/$C$5</f>
        <v>872.1052327929383</v>
      </c>
      <c r="D63" s="51">
        <f>C63*Stuðlar!$A$14</f>
        <v>287.79472682166966</v>
      </c>
      <c r="E63" s="51">
        <f>C63*Stuðlar!$A$15</f>
        <v>392.4473547568222</v>
      </c>
      <c r="F63" s="51">
        <f>C63*Stuðlar!$A$16</f>
        <v>784.8947095136444</v>
      </c>
      <c r="G63" s="51">
        <f>B63*$G$5</f>
        <v>1569.81737</v>
      </c>
      <c r="H63" s="24">
        <f>B63+(50*D63)+(50*E63)+(9*G63)</f>
        <v>199302.4604089246</v>
      </c>
      <c r="I63" s="24">
        <f>B63+(61*D63)+(50*E63)+(9*G63)</f>
        <v>202468.202403963</v>
      </c>
      <c r="J63" s="51">
        <v>1846.82</v>
      </c>
    </row>
    <row r="64" spans="1:10" ht="15.75" thickBot="1">
      <c r="A64" s="29" t="s">
        <v>43</v>
      </c>
      <c r="B64" s="29">
        <v>161093</v>
      </c>
      <c r="C64" s="54">
        <f>B64/$C$5</f>
        <v>929.4005653954883</v>
      </c>
      <c r="D64" s="54">
        <f>C64*Stuðlar!$A$14</f>
        <v>306.7021865805112</v>
      </c>
      <c r="E64" s="54">
        <f>C64*Stuðlar!$A$15</f>
        <v>418.2302544279698</v>
      </c>
      <c r="F64" s="54">
        <f>C64*Stuðlar!$A$16</f>
        <v>836.4605088559396</v>
      </c>
      <c r="G64" s="54">
        <f>B64*$G$5</f>
        <v>1672.950805</v>
      </c>
      <c r="H64" s="30">
        <f>B64+(50*D64)+(50*E64)+(9*G64)</f>
        <v>212396.17929542405</v>
      </c>
      <c r="I64" s="30">
        <f>B64+(61*D64)+(50*E64)+(9*G64)</f>
        <v>215769.90334780968</v>
      </c>
      <c r="J64" s="51">
        <v>1881.95</v>
      </c>
    </row>
    <row r="65" spans="1:9" ht="15.75" thickTop="1">
      <c r="A65" s="25"/>
      <c r="B65" s="25"/>
      <c r="C65" s="25"/>
      <c r="D65" s="25"/>
      <c r="E65" s="25"/>
      <c r="F65" s="25"/>
      <c r="G65" s="25"/>
      <c r="H65" s="25"/>
      <c r="I65" s="25"/>
    </row>
    <row r="66" ht="15">
      <c r="A66" s="5" t="s">
        <v>44</v>
      </c>
    </row>
    <row r="67" spans="3:10" ht="15">
      <c r="C67" s="7" t="s">
        <v>20</v>
      </c>
      <c r="D67" s="65" t="s">
        <v>46</v>
      </c>
      <c r="E67" s="66"/>
      <c r="F67" s="67"/>
      <c r="G67" s="7" t="s">
        <v>21</v>
      </c>
      <c r="H67" s="74" t="s">
        <v>45</v>
      </c>
      <c r="I67" s="75"/>
      <c r="J67" s="5" t="s">
        <v>88</v>
      </c>
    </row>
    <row r="68" spans="2:10" ht="15">
      <c r="B68" s="8" t="s">
        <v>37</v>
      </c>
      <c r="C68" s="9">
        <v>173.33</v>
      </c>
      <c r="D68" s="20">
        <v>0.33</v>
      </c>
      <c r="E68" s="10">
        <v>0.45</v>
      </c>
      <c r="F68" s="21">
        <v>0.9</v>
      </c>
      <c r="G68" s="11">
        <v>0.010385</v>
      </c>
      <c r="H68" s="22" t="s">
        <v>24</v>
      </c>
      <c r="I68" s="22" t="s">
        <v>25</v>
      </c>
      <c r="J68" s="5" t="s">
        <v>89</v>
      </c>
    </row>
    <row r="69" spans="1:10" ht="15">
      <c r="A69" s="4" t="s">
        <v>55</v>
      </c>
      <c r="B69" s="55">
        <v>121372</v>
      </c>
      <c r="C69" s="51">
        <f>B69/$C$5</f>
        <v>700.2365430104425</v>
      </c>
      <c r="D69" s="51">
        <f>C69*Stuðlar!$A$14</f>
        <v>231.07805919344602</v>
      </c>
      <c r="E69" s="51">
        <f>C69*Stuðlar!$A$15</f>
        <v>315.10644435469914</v>
      </c>
      <c r="F69" s="51">
        <f>C69*Stuðlar!$A$16</f>
        <v>630.2128887093983</v>
      </c>
      <c r="G69" s="51">
        <v>1363.57</v>
      </c>
      <c r="H69" s="24">
        <f>B69+(50*D69)+(50*E69)+(9*G69)</f>
        <v>160953.35517740727</v>
      </c>
      <c r="I69" s="24">
        <f>B69+(61*D69)+(50*E69)+(9*G69)</f>
        <v>163495.21382853517</v>
      </c>
      <c r="J69" s="51">
        <v>1463.57</v>
      </c>
    </row>
    <row r="70" spans="1:10" ht="15">
      <c r="A70" s="4" t="s">
        <v>41</v>
      </c>
      <c r="B70" s="55">
        <v>131302</v>
      </c>
      <c r="C70" s="51">
        <f>B70/$C$5</f>
        <v>757.5261062712744</v>
      </c>
      <c r="D70" s="51">
        <f>C70*Stuðlar!$A$14</f>
        <v>249.98361506952057</v>
      </c>
      <c r="E70" s="51">
        <f>C70*Stuðlar!$A$15</f>
        <v>340.8867478220735</v>
      </c>
      <c r="F70" s="51">
        <f>C70*Stuðlar!$A$16</f>
        <v>681.773495644147</v>
      </c>
      <c r="G70" s="51">
        <f>B70*$G$5</f>
        <v>1363.57127</v>
      </c>
      <c r="H70" s="24">
        <f>B70+(50*D70)+(50*E70)+(9*G70)</f>
        <v>173117.65957457968</v>
      </c>
      <c r="I70" s="24">
        <f>B70+(61*D70)+(50*E70)+(9*G70)</f>
        <v>175867.4793403444</v>
      </c>
      <c r="J70" s="51">
        <v>1763.57</v>
      </c>
    </row>
    <row r="71" spans="1:10" ht="15.75" thickBot="1">
      <c r="A71" s="29" t="s">
        <v>42</v>
      </c>
      <c r="B71" s="56">
        <v>156128</v>
      </c>
      <c r="C71" s="54">
        <f>B71/$C$5</f>
        <v>900.7557837650724</v>
      </c>
      <c r="D71" s="54">
        <f>C71*Stuðlar!$A$14</f>
        <v>297.2494086424739</v>
      </c>
      <c r="E71" s="54">
        <f>C71*Stuðlar!$A$15</f>
        <v>405.34010269428256</v>
      </c>
      <c r="F71" s="54">
        <f>C71*Stuðlar!$A$16</f>
        <v>810.6802053885651</v>
      </c>
      <c r="G71" s="54">
        <f>B71*$G$5</f>
        <v>1621.38928</v>
      </c>
      <c r="H71" s="30">
        <f>B71+(50*D71)+(50*E71)+(9*G71)</f>
        <v>205849.97908683782</v>
      </c>
      <c r="I71" s="30">
        <f>B71+(61*D71)+(50*E71)+(9*G71)</f>
        <v>209119.72258190502</v>
      </c>
      <c r="J71" s="51">
        <v>1864.39</v>
      </c>
    </row>
    <row r="72" spans="9:10" ht="15.75" thickTop="1">
      <c r="I72" s="25"/>
      <c r="J72" s="25"/>
    </row>
    <row r="73" spans="4:8" ht="15">
      <c r="D73" s="5" t="s">
        <v>57</v>
      </c>
      <c r="E73" s="5" t="s">
        <v>58</v>
      </c>
      <c r="F73" s="5" t="s">
        <v>59</v>
      </c>
      <c r="G73" s="5" t="s">
        <v>60</v>
      </c>
      <c r="H73" s="5" t="s">
        <v>61</v>
      </c>
    </row>
    <row r="74" spans="1:8" ht="15">
      <c r="A74" s="5" t="s">
        <v>62</v>
      </c>
      <c r="D74" s="4">
        <v>6027</v>
      </c>
      <c r="E74" s="4">
        <v>6027</v>
      </c>
      <c r="H74" s="4">
        <v>6027</v>
      </c>
    </row>
    <row r="75" spans="1:5" ht="15">
      <c r="A75" s="4" t="s">
        <v>63</v>
      </c>
      <c r="D75" s="53">
        <v>2011</v>
      </c>
      <c r="E75" s="4">
        <v>26900</v>
      </c>
    </row>
    <row r="76" spans="1:5" ht="15">
      <c r="A76" s="4" t="s">
        <v>64</v>
      </c>
      <c r="D76" s="53">
        <v>2011</v>
      </c>
      <c r="E76" s="4">
        <v>48800</v>
      </c>
    </row>
    <row r="77" ht="15">
      <c r="A77" s="4" t="s">
        <v>65</v>
      </c>
    </row>
  </sheetData>
  <sheetProtection/>
  <mergeCells count="13">
    <mergeCell ref="A1:J1"/>
    <mergeCell ref="D4:F4"/>
    <mergeCell ref="I4:J4"/>
    <mergeCell ref="I8:J8"/>
    <mergeCell ref="D16:F16"/>
    <mergeCell ref="I16:J16"/>
    <mergeCell ref="D34:F34"/>
    <mergeCell ref="I34:J34"/>
    <mergeCell ref="A55:J55"/>
    <mergeCell ref="D58:F58"/>
    <mergeCell ref="H58:I58"/>
    <mergeCell ref="D67:F67"/>
    <mergeCell ref="H67:I67"/>
  </mergeCells>
  <printOptions/>
  <pageMargins left="0.75" right="0.75" top="1" bottom="1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7">
      <selection activeCell="H86" sqref="H86"/>
    </sheetView>
  </sheetViews>
  <sheetFormatPr defaultColWidth="11.421875" defaultRowHeight="15"/>
  <cols>
    <col min="1" max="1" width="6.28125" style="4" customWidth="1"/>
    <col min="2" max="2" width="10.421875" style="4" bestFit="1" customWidth="1"/>
    <col min="3" max="4" width="6.7109375" style="4" bestFit="1" customWidth="1"/>
    <col min="5" max="5" width="6.8515625" style="4" bestFit="1" customWidth="1"/>
    <col min="6" max="6" width="6.421875" style="4" bestFit="1" customWidth="1"/>
    <col min="7" max="7" width="8.28125" style="4" bestFit="1" customWidth="1"/>
    <col min="8" max="8" width="9.421875" style="4" customWidth="1"/>
    <col min="9" max="9" width="9.7109375" style="4" customWidth="1"/>
    <col min="10" max="10" width="8.140625" style="4" bestFit="1" customWidth="1"/>
    <col min="11" max="13" width="11.421875" style="4" customWidth="1"/>
    <col min="14" max="14" width="12.28125" style="4" customWidth="1"/>
    <col min="15" max="16384" width="11.421875" style="4" customWidth="1"/>
  </cols>
  <sheetData>
    <row r="1" spans="1:10" ht="23.25">
      <c r="A1" s="70" t="s">
        <v>91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1.25" customHeight="1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4" ht="15">
      <c r="A3" s="5" t="s">
        <v>73</v>
      </c>
      <c r="B3" s="5"/>
      <c r="C3" s="5"/>
      <c r="D3" s="5"/>
    </row>
    <row r="4" spans="1:10" ht="15">
      <c r="A4" s="6"/>
      <c r="B4" s="6"/>
      <c r="C4" s="7" t="s">
        <v>20</v>
      </c>
      <c r="D4" s="65" t="s">
        <v>46</v>
      </c>
      <c r="E4" s="72"/>
      <c r="F4" s="73"/>
      <c r="G4" s="7" t="s">
        <v>21</v>
      </c>
      <c r="H4" s="7" t="s">
        <v>22</v>
      </c>
      <c r="I4" s="74" t="s">
        <v>45</v>
      </c>
      <c r="J4" s="75"/>
    </row>
    <row r="5" spans="1:10" ht="15">
      <c r="A5" s="8"/>
      <c r="B5" s="8" t="s">
        <v>23</v>
      </c>
      <c r="C5" s="9">
        <v>173.33</v>
      </c>
      <c r="D5" s="20">
        <v>0.33</v>
      </c>
      <c r="E5" s="10">
        <v>0.45</v>
      </c>
      <c r="F5" s="21">
        <v>0.9</v>
      </c>
      <c r="G5" s="11">
        <v>0.010385</v>
      </c>
      <c r="H5" s="38">
        <v>0.01375</v>
      </c>
      <c r="I5" s="22" t="s">
        <v>24</v>
      </c>
      <c r="J5" s="22" t="s">
        <v>25</v>
      </c>
    </row>
    <row r="6" spans="1:10" ht="15">
      <c r="A6" s="4" t="s">
        <v>48</v>
      </c>
      <c r="B6" s="4">
        <f>'júní 2011'!B6+Stuðlar!I12</f>
        <v>202017</v>
      </c>
      <c r="C6" s="4">
        <f>B6/$C$5</f>
        <v>1165.5051058674205</v>
      </c>
      <c r="D6" s="4">
        <f>C6*Stuðlar!$A$14</f>
        <v>384.6166849362488</v>
      </c>
      <c r="E6" s="4">
        <f>C6*Stuðlar!$A$15</f>
        <v>524.4772976403392</v>
      </c>
      <c r="F6" s="4">
        <f>C6*Stuðlar!$A$16</f>
        <v>1048.9545952806784</v>
      </c>
      <c r="G6" s="4">
        <f>B6*$G$5</f>
        <v>2097.9465450000002</v>
      </c>
      <c r="H6" s="4">
        <f>B6*$H$5</f>
        <v>2777.73375</v>
      </c>
      <c r="I6" s="24">
        <f>B6+(50*D6)+(50*E6)+(9*G6)</f>
        <v>266353.2180338294</v>
      </c>
      <c r="J6" s="24">
        <f>B6+(61*D6)+(50*E6)+(9*G6)</f>
        <v>270584.0015681281</v>
      </c>
    </row>
    <row r="7" spans="8:11" ht="15">
      <c r="H7" s="25"/>
      <c r="I7" s="25"/>
      <c r="J7" s="25"/>
      <c r="K7" s="25"/>
    </row>
    <row r="8" spans="1:10" s="5" customFormat="1" ht="15">
      <c r="A8" s="5" t="s">
        <v>47</v>
      </c>
      <c r="I8" s="74" t="s">
        <v>45</v>
      </c>
      <c r="J8" s="75"/>
    </row>
    <row r="9" spans="1:10" ht="15">
      <c r="A9" s="4" t="s">
        <v>1</v>
      </c>
      <c r="B9" s="4">
        <f>'júní 2011'!B9+Stuðlar!I12</f>
        <v>226944</v>
      </c>
      <c r="C9" s="4">
        <f>B9/$C$5</f>
        <v>1309.3174868747476</v>
      </c>
      <c r="D9" s="4">
        <f>C9*Stuðlar!$A$14</f>
        <v>432.0747706686667</v>
      </c>
      <c r="E9" s="4">
        <f>C9*Stuðlar!$A$15</f>
        <v>589.1928690936364</v>
      </c>
      <c r="F9" s="4">
        <f>C9*Stuðlar!$A$16</f>
        <v>1178.3857381872729</v>
      </c>
      <c r="G9" s="4">
        <f>B9*$G$5</f>
        <v>2356.81344</v>
      </c>
      <c r="H9" s="4">
        <f>B9*$H$5</f>
        <v>3120.48</v>
      </c>
      <c r="I9" s="24">
        <f>B9+(50*D9)+(50*E9)+(9*G9)</f>
        <v>299218.7029481151</v>
      </c>
      <c r="J9" s="24">
        <f>B9+(61*D9)+(50*E9)+(9*G9)</f>
        <v>303971.5254254705</v>
      </c>
    </row>
    <row r="10" spans="1:10" ht="15">
      <c r="A10" s="4" t="s">
        <v>53</v>
      </c>
      <c r="B10" s="4">
        <f>'júní 2011'!B10+Stuðlar!I12</f>
        <v>230584</v>
      </c>
      <c r="C10" s="4">
        <f>B10/$C$5</f>
        <v>1330.3178907286679</v>
      </c>
      <c r="D10" s="4">
        <f>C10*Stuðlar!$A$14</f>
        <v>439.0049039404604</v>
      </c>
      <c r="E10" s="4">
        <f>C10*Stuðlar!$A$15</f>
        <v>598.6430508279005</v>
      </c>
      <c r="F10" s="4">
        <f>C10*Stuðlar!$A$16</f>
        <v>1197.286101655801</v>
      </c>
      <c r="G10" s="4">
        <f>B10*$G$5</f>
        <v>2394.61484</v>
      </c>
      <c r="H10" s="4">
        <f>B10*$H$5</f>
        <v>3170.53</v>
      </c>
      <c r="I10" s="24">
        <f>B10+(50*D10)+(50*E10)+(9*G10)</f>
        <v>304017.9312984181</v>
      </c>
      <c r="J10" s="24">
        <f>B10+(61*D10)+(50*E10)+(9*G10)</f>
        <v>308846.9852417631</v>
      </c>
    </row>
    <row r="11" spans="9:10" ht="15">
      <c r="I11" s="25"/>
      <c r="J11" s="25"/>
    </row>
    <row r="12" spans="1:10" s="5" customFormat="1" ht="15">
      <c r="A12" s="5" t="s">
        <v>27</v>
      </c>
      <c r="I12" s="6"/>
      <c r="J12" s="6"/>
    </row>
    <row r="13" spans="1:10" ht="15.75" thickBot="1">
      <c r="A13" s="29"/>
      <c r="B13" s="29">
        <f>'júní 2011'!B13+Stuðlar!I12</f>
        <v>239029</v>
      </c>
      <c r="C13" s="29"/>
      <c r="D13" s="29"/>
      <c r="E13" s="29"/>
      <c r="F13" s="29"/>
      <c r="G13" s="29"/>
      <c r="H13" s="29"/>
      <c r="I13" s="29"/>
      <c r="J13" s="29"/>
    </row>
    <row r="14" spans="9:10" ht="15.75" thickTop="1">
      <c r="I14" s="25"/>
      <c r="J14" s="25"/>
    </row>
    <row r="15" spans="1:10" s="5" customFormat="1" ht="15">
      <c r="A15" s="5" t="s">
        <v>28</v>
      </c>
      <c r="I15" s="6"/>
      <c r="J15" s="6"/>
    </row>
    <row r="16" spans="3:10" s="5" customFormat="1" ht="15">
      <c r="C16" s="7" t="s">
        <v>20</v>
      </c>
      <c r="D16" s="65" t="s">
        <v>46</v>
      </c>
      <c r="E16" s="72"/>
      <c r="F16" s="73"/>
      <c r="G16" s="7" t="s">
        <v>21</v>
      </c>
      <c r="H16" s="7" t="s">
        <v>22</v>
      </c>
      <c r="I16" s="74" t="s">
        <v>45</v>
      </c>
      <c r="J16" s="75"/>
    </row>
    <row r="17" spans="2:10" s="5" customFormat="1" ht="15">
      <c r="B17" s="8" t="s">
        <v>23</v>
      </c>
      <c r="C17" s="9">
        <v>173.33</v>
      </c>
      <c r="D17" s="20">
        <v>0.33</v>
      </c>
      <c r="E17" s="10">
        <v>0.45</v>
      </c>
      <c r="F17" s="21">
        <v>0.9</v>
      </c>
      <c r="G17" s="11">
        <v>0.010385</v>
      </c>
      <c r="H17" s="38">
        <v>0.01375</v>
      </c>
      <c r="I17" s="22" t="s">
        <v>24</v>
      </c>
      <c r="J17" s="22" t="s">
        <v>25</v>
      </c>
    </row>
    <row r="18" spans="1:10" ht="15">
      <c r="A18" s="4" t="s">
        <v>1</v>
      </c>
      <c r="B18" s="4">
        <f>'júní 2011'!B18+Stuðlar!I12</f>
        <v>249604.13139999998</v>
      </c>
      <c r="C18" s="4">
        <f>B18/$C$5</f>
        <v>1440.051528298621</v>
      </c>
      <c r="D18" s="4">
        <f>C18*Stuðlar!$A$14</f>
        <v>475.21700433854494</v>
      </c>
      <c r="E18" s="4">
        <f>C18*Stuðlar!$A$15</f>
        <v>648.0231877343795</v>
      </c>
      <c r="F18" s="4">
        <f>C18*Stuðlar!$A$16</f>
        <v>1296.046375468759</v>
      </c>
      <c r="G18" s="4">
        <f>B18*$G$5</f>
        <v>2592.138904589</v>
      </c>
      <c r="H18" s="4">
        <f>B18*$H$5</f>
        <v>3432.05680675</v>
      </c>
      <c r="I18" s="24">
        <f>B18+(50*D18)+(50*E18)+(9*G18)</f>
        <v>329095.39114494727</v>
      </c>
      <c r="J18" s="24">
        <f>B18+(61*D18)+(50*E18)+(9*G18)</f>
        <v>334322.77819267125</v>
      </c>
    </row>
    <row r="19" spans="1:10" ht="15">
      <c r="A19" s="4" t="s">
        <v>53</v>
      </c>
      <c r="B19" s="4">
        <f>'júní 2011'!B19+Stuðlar!I12</f>
        <v>253648.5224</v>
      </c>
      <c r="C19" s="4">
        <f>B19/$C$5</f>
        <v>1463.3850020192695</v>
      </c>
      <c r="D19" s="4">
        <f>C19*Stuðlar!$A$14</f>
        <v>482.91705066635893</v>
      </c>
      <c r="E19" s="4">
        <f>C19*Stuðlar!$A$15</f>
        <v>658.5232509086712</v>
      </c>
      <c r="F19" s="4">
        <f>C19*Stuðlar!$A$16</f>
        <v>1317.0465018173425</v>
      </c>
      <c r="G19" s="4">
        <f>B19*$G$5</f>
        <v>2634.139905124</v>
      </c>
      <c r="H19" s="4">
        <f>B19*$H$5</f>
        <v>3487.667183</v>
      </c>
      <c r="I19" s="24">
        <f>B19+(50*D19)+(50*E19)+(9*G19)</f>
        <v>334427.7966248675</v>
      </c>
      <c r="J19" s="24">
        <f>B19+(61*D19)+(50*E19)+(9*G19)</f>
        <v>339739.8841821974</v>
      </c>
    </row>
    <row r="20" spans="1:10" ht="15">
      <c r="A20" s="4" t="s">
        <v>84</v>
      </c>
      <c r="B20" s="4">
        <f>'júní 2011'!B20+Stuðlar!I12</f>
        <v>257794.155</v>
      </c>
      <c r="C20" s="4">
        <f>B20/$C$5</f>
        <v>1487.302573126406</v>
      </c>
      <c r="D20" s="4">
        <f>C20*Stuðlar!$A$14</f>
        <v>490.80984913171403</v>
      </c>
      <c r="E20" s="4">
        <f>C20*Stuðlar!$A$15</f>
        <v>669.2861579068827</v>
      </c>
      <c r="F20" s="4">
        <f>C20*Stuðlar!$A$16</f>
        <v>1338.5723158137655</v>
      </c>
      <c r="G20" s="4">
        <f>B20*$G$5</f>
        <v>2677.192299675</v>
      </c>
      <c r="H20" s="4">
        <f>B20*$H$5</f>
        <v>3544.66963125</v>
      </c>
      <c r="I20" s="24">
        <f>B20+(50*D20)+(50*E20)+(9*G20)</f>
        <v>339893.6860490049</v>
      </c>
      <c r="J20" s="24">
        <f>B20+(61*D20)+(50*E20)+(9*G20)</f>
        <v>345292.5943894537</v>
      </c>
    </row>
    <row r="21" spans="1:10" ht="15">
      <c r="A21" s="4" t="s">
        <v>83</v>
      </c>
      <c r="B21" s="4">
        <f>'júní 2011'!B21+Stuðlar!I12</f>
        <v>262000</v>
      </c>
      <c r="C21" s="4">
        <f>B21/$C$5</f>
        <v>1511.5675301448105</v>
      </c>
      <c r="D21" s="4">
        <f>C21*Stuðlar!$A$14</f>
        <v>498.81728494778747</v>
      </c>
      <c r="E21" s="4">
        <f>C21*Stuðlar!$A$15</f>
        <v>680.2053885651648</v>
      </c>
      <c r="F21" s="4">
        <f>C21*Stuðlar!$A$16</f>
        <v>1360.4107771303295</v>
      </c>
      <c r="G21" s="4">
        <f>B21*$G$5</f>
        <v>2720.87</v>
      </c>
      <c r="H21" s="4">
        <f>B21*$H$5</f>
        <v>3602.5</v>
      </c>
      <c r="I21" s="24">
        <f>B21+(50*D21)+(50*E21)+(9*G21)</f>
        <v>345438.9636756476</v>
      </c>
      <c r="J21" s="24">
        <f>B21+(61*D21)+(50*E21)+(9*G21)</f>
        <v>350925.9538100733</v>
      </c>
    </row>
    <row r="22" spans="1:10" ht="15">
      <c r="A22" s="4" t="s">
        <v>85</v>
      </c>
      <c r="B22" s="4">
        <f>'júní 2011'!B22+Stuðlar!I12</f>
        <v>267271</v>
      </c>
      <c r="C22" s="4">
        <f>B22/$C$5</f>
        <v>1541.977730340968</v>
      </c>
      <c r="D22" s="4">
        <f>C22*Stuðlar!$A$14</f>
        <v>508.85265101251946</v>
      </c>
      <c r="E22" s="4">
        <f>C22*Stuðlar!$A$15</f>
        <v>693.8899786534356</v>
      </c>
      <c r="F22" s="4">
        <f>C22*Stuðlar!$A$16</f>
        <v>1387.7799573068712</v>
      </c>
      <c r="G22" s="4">
        <f>B22*$G$5</f>
        <v>2775.609335</v>
      </c>
      <c r="H22" s="4">
        <f>B22*$H$5</f>
        <v>3674.97625</v>
      </c>
      <c r="I22" s="24">
        <f>B22+(50*D22)+(50*E22)+(9*G22)</f>
        <v>352388.61549829773</v>
      </c>
      <c r="J22" s="24">
        <f>B22+(61*D22)+(50*E22)+(9*G22)</f>
        <v>357985.99465943547</v>
      </c>
    </row>
    <row r="23" ht="15">
      <c r="L23" s="2"/>
    </row>
    <row r="24" s="5" customFormat="1" ht="15">
      <c r="A24" s="5" t="s">
        <v>31</v>
      </c>
    </row>
    <row r="25" spans="1:12" ht="15.75" thickBot="1">
      <c r="A25" s="29"/>
      <c r="B25" s="29">
        <f>'júní 2011'!B25+Stuðlar!I12</f>
        <v>286054</v>
      </c>
      <c r="C25" s="29">
        <f>B25/$C$5</f>
        <v>1650.3432758322274</v>
      </c>
      <c r="D25" s="29">
        <f>C25*Stuðlar!$A$14</f>
        <v>544.6132810246351</v>
      </c>
      <c r="E25" s="29">
        <f>C25*Stuðlar!$A$15</f>
        <v>742.6544741245024</v>
      </c>
      <c r="F25" s="29">
        <f>C25*Stuðlar!$A$16</f>
        <v>1485.3089482490047</v>
      </c>
      <c r="G25" s="29">
        <f>B25*$G$5</f>
        <v>2970.67079</v>
      </c>
      <c r="H25" s="29">
        <f>B25*$H$5</f>
        <v>3933.2425</v>
      </c>
      <c r="I25" s="29">
        <f>B25+(50*D25)+(50*E25)+(9*G25)</f>
        <v>377153.42486745684</v>
      </c>
      <c r="J25" s="29">
        <f>B25+(61*D25)+(50*E25)+(9*G25)</f>
        <v>383144.17095872783</v>
      </c>
      <c r="L25"/>
    </row>
    <row r="26" ht="15.75" thickTop="1"/>
    <row r="27" spans="1:13" s="5" customFormat="1" ht="15">
      <c r="A27" s="5" t="s">
        <v>32</v>
      </c>
      <c r="M27" s="50"/>
    </row>
    <row r="28" spans="1:13" ht="15">
      <c r="A28" s="4" t="s">
        <v>78</v>
      </c>
      <c r="M28" s="51"/>
    </row>
    <row r="29" ht="15">
      <c r="A29" s="4" t="s">
        <v>81</v>
      </c>
    </row>
    <row r="30" ht="15">
      <c r="A30" s="4" t="s">
        <v>79</v>
      </c>
    </row>
    <row r="31" ht="15">
      <c r="A31" s="4" t="s">
        <v>80</v>
      </c>
    </row>
    <row r="33" spans="1:4" ht="15">
      <c r="A33" s="5" t="s">
        <v>28</v>
      </c>
      <c r="B33" s="5"/>
      <c r="C33" s="5"/>
      <c r="D33" s="5"/>
    </row>
    <row r="34" spans="3:10" ht="15">
      <c r="C34" s="7" t="s">
        <v>20</v>
      </c>
      <c r="D34" s="65" t="s">
        <v>46</v>
      </c>
      <c r="E34" s="72"/>
      <c r="F34" s="73"/>
      <c r="G34" s="7" t="s">
        <v>21</v>
      </c>
      <c r="H34" s="7" t="s">
        <v>22</v>
      </c>
      <c r="I34" s="74" t="s">
        <v>45</v>
      </c>
      <c r="J34" s="75"/>
    </row>
    <row r="35" spans="1:10" s="5" customFormat="1" ht="15">
      <c r="A35" s="8"/>
      <c r="B35" s="8" t="s">
        <v>23</v>
      </c>
      <c r="C35" s="9">
        <v>173.33</v>
      </c>
      <c r="D35" s="20">
        <v>0.33</v>
      </c>
      <c r="E35" s="10">
        <v>0.45</v>
      </c>
      <c r="F35" s="21">
        <v>0.9</v>
      </c>
      <c r="G35" s="11">
        <v>0.010385</v>
      </c>
      <c r="H35" s="38">
        <v>0.01375</v>
      </c>
      <c r="I35" s="22" t="s">
        <v>24</v>
      </c>
      <c r="J35" s="22" t="s">
        <v>25</v>
      </c>
    </row>
    <row r="36" spans="1:10" ht="15">
      <c r="A36" s="4" t="s">
        <v>53</v>
      </c>
      <c r="B36" s="4">
        <f>B19*Stuðlar!$A$5</f>
        <v>291695.80075999995</v>
      </c>
      <c r="C36" s="4">
        <f>B36/$C$5</f>
        <v>1682.8927523221596</v>
      </c>
      <c r="D36" s="4">
        <f>C36*Stuðlar!$A$14</f>
        <v>555.3546082663127</v>
      </c>
      <c r="E36" s="4">
        <f>C36*Stuðlar!$A$15</f>
        <v>757.3017385449718</v>
      </c>
      <c r="F36" s="4">
        <f>C36*Stuðlar!$A$16</f>
        <v>1514.6034770899437</v>
      </c>
      <c r="G36" s="4">
        <f>B36*$G$5</f>
        <v>3029.2608908925995</v>
      </c>
      <c r="H36" s="4">
        <f>B36*$H$5</f>
        <v>4010.8172604499996</v>
      </c>
      <c r="I36" s="24">
        <f>B36+(50*D36)+(50*E36)+(9*G36)</f>
        <v>384591.96611859754</v>
      </c>
      <c r="J36" s="24">
        <f>B36+(61*D36)+(50*E36)+(9*G36)</f>
        <v>390700.866809527</v>
      </c>
    </row>
    <row r="37" spans="1:10" ht="15">
      <c r="A37" s="4" t="s">
        <v>84</v>
      </c>
      <c r="B37" s="4">
        <f>B20*Stuðlar!$A$5</f>
        <v>296463.27825</v>
      </c>
      <c r="C37" s="4">
        <f>B37/$C$5</f>
        <v>1710.397959095367</v>
      </c>
      <c r="D37" s="4">
        <f>C37*Stuðlar!$A$14</f>
        <v>564.4313265014712</v>
      </c>
      <c r="E37" s="4">
        <f>C37*Stuðlar!$A$15</f>
        <v>769.6790815929152</v>
      </c>
      <c r="F37" s="4">
        <f>C37*Stuðlar!$A$16</f>
        <v>1539.3581631858303</v>
      </c>
      <c r="G37" s="4">
        <f>B37*$G$5</f>
        <v>3078.7711446262497</v>
      </c>
      <c r="H37" s="4">
        <f>B37*$H$5</f>
        <v>4076.3700759374997</v>
      </c>
      <c r="I37" s="24">
        <f>B37+(50*D37)+(50*E37)+(9*G37)</f>
        <v>390877.7389563555</v>
      </c>
      <c r="J37" s="24">
        <f>B37+(61*D37)+(50*E37)+(9*G37)</f>
        <v>397086.4835478717</v>
      </c>
    </row>
    <row r="38" spans="1:10" ht="15">
      <c r="A38" s="4" t="s">
        <v>86</v>
      </c>
      <c r="B38" s="4">
        <f>B21*Stuðlar!$A$5</f>
        <v>301300</v>
      </c>
      <c r="C38" s="4">
        <f>B38/$C$5</f>
        <v>1738.302659666532</v>
      </c>
      <c r="D38" s="4">
        <f>C38*Stuðlar!$A$14</f>
        <v>573.6398776899556</v>
      </c>
      <c r="E38" s="4">
        <f>C38*Stuðlar!$A$15</f>
        <v>782.2361968499395</v>
      </c>
      <c r="F38" s="4">
        <f>C38*Stuðlar!$A$16</f>
        <v>1564.472393699879</v>
      </c>
      <c r="G38" s="4">
        <f>B38*$G$5</f>
        <v>3129.0005</v>
      </c>
      <c r="H38" s="4">
        <f>B38*$H$5</f>
        <v>4142.875</v>
      </c>
      <c r="I38" s="24">
        <f>B38+(50*D38)+(50*E38)+(9*G38)</f>
        <v>397254.80822699476</v>
      </c>
      <c r="J38" s="24">
        <f>B38+(61*D38)+(50*E38)+(9*G38)</f>
        <v>403564.84688158426</v>
      </c>
    </row>
    <row r="39" spans="1:10" ht="15">
      <c r="A39" s="4" t="s">
        <v>87</v>
      </c>
      <c r="B39" s="4">
        <f>B22*Stuðlar!$A$5</f>
        <v>307361.64999999997</v>
      </c>
      <c r="C39" s="4">
        <f>B39/$C$5</f>
        <v>1773.274389892113</v>
      </c>
      <c r="D39" s="4">
        <f>C39*Stuðlar!$A$14</f>
        <v>585.1805486643973</v>
      </c>
      <c r="E39" s="4">
        <f>C39*Stuðlar!$A$15</f>
        <v>797.9734754514509</v>
      </c>
      <c r="F39" s="4">
        <f>C39*Stuðlar!$A$16</f>
        <v>1595.9469509029018</v>
      </c>
      <c r="G39" s="4">
        <f>B39*$G$5</f>
        <v>3191.9507352499995</v>
      </c>
      <c r="H39" s="4">
        <f>B39*$H$5</f>
        <v>4226.2226875</v>
      </c>
      <c r="I39" s="24">
        <f>B39+(50*D39)+(50*E39)+(9*G39)</f>
        <v>405246.90782304236</v>
      </c>
      <c r="J39" s="24">
        <f>B39+(61*D39)+(50*E39)+(9*G39)</f>
        <v>411683.8938583507</v>
      </c>
    </row>
    <row r="40" spans="9:10" ht="15">
      <c r="I40" s="25"/>
      <c r="J40" s="25"/>
    </row>
    <row r="41" spans="1:11" s="5" customFormat="1" ht="15">
      <c r="A41" s="5" t="s">
        <v>31</v>
      </c>
      <c r="I41" s="44"/>
      <c r="J41" s="6"/>
      <c r="K41" s="6"/>
    </row>
    <row r="42" spans="1:10" ht="15.75" thickBot="1">
      <c r="A42" s="29"/>
      <c r="B42" s="29">
        <f>B25*Stuðlar!$A$5</f>
        <v>328962.1</v>
      </c>
      <c r="C42" s="29">
        <f>B42/$C$5</f>
        <v>1897.8947672070615</v>
      </c>
      <c r="D42" s="29">
        <f>C42*Stuðlar!$A$14</f>
        <v>626.3052731783304</v>
      </c>
      <c r="E42" s="29">
        <f>C42*Stuðlar!$A$15</f>
        <v>854.0526452431777</v>
      </c>
      <c r="F42" s="29">
        <f>C42*Stuðlar!$A$16</f>
        <v>1708.1052904863554</v>
      </c>
      <c r="G42" s="29">
        <f>B42*$G$5</f>
        <v>3416.2714085</v>
      </c>
      <c r="H42" s="29">
        <f>B42*$H$5</f>
        <v>4523.228875</v>
      </c>
      <c r="I42" s="30">
        <f>B42+(50*D42)+(50*E42)+(9*G42)</f>
        <v>433726.4385975754</v>
      </c>
      <c r="J42" s="30">
        <f>B42+(61*D42)+(50*E42)+(9*G42)</f>
        <v>440615.79660253704</v>
      </c>
    </row>
    <row r="43" ht="15.75" thickTop="1"/>
    <row r="44" spans="1:8" ht="15">
      <c r="A44" s="26"/>
      <c r="B44" s="26"/>
      <c r="C44" s="26"/>
      <c r="D44" s="32" t="s">
        <v>57</v>
      </c>
      <c r="E44" s="32" t="s">
        <v>58</v>
      </c>
      <c r="F44" s="32" t="s">
        <v>59</v>
      </c>
      <c r="G44" s="32" t="s">
        <v>60</v>
      </c>
      <c r="H44" s="32" t="s">
        <v>61</v>
      </c>
    </row>
    <row r="45" spans="1:8" ht="15">
      <c r="A45" s="31" t="s">
        <v>62</v>
      </c>
      <c r="B45" s="26"/>
      <c r="C45" s="26"/>
      <c r="D45" s="4">
        <v>6027</v>
      </c>
      <c r="E45" s="4">
        <v>6027</v>
      </c>
      <c r="H45" s="4">
        <v>6027</v>
      </c>
    </row>
    <row r="46" spans="1:13" ht="15">
      <c r="A46" s="4" t="s">
        <v>68</v>
      </c>
      <c r="C46" s="53">
        <v>2012</v>
      </c>
      <c r="D46" s="4">
        <v>27800</v>
      </c>
      <c r="M46" s="5"/>
    </row>
    <row r="47" spans="1:4" ht="15">
      <c r="A47" s="4" t="s">
        <v>64</v>
      </c>
      <c r="C47" s="53">
        <v>2012</v>
      </c>
      <c r="D47" s="4">
        <v>50500</v>
      </c>
    </row>
    <row r="48" spans="1:3" ht="15">
      <c r="A48" s="26"/>
      <c r="C48" s="27"/>
    </row>
    <row r="49" spans="1:8" ht="15">
      <c r="A49" s="26"/>
      <c r="C49" s="27"/>
      <c r="D49" s="28"/>
      <c r="E49" s="28"/>
      <c r="F49" s="26"/>
      <c r="G49" s="26"/>
      <c r="H49" s="26"/>
    </row>
    <row r="50" spans="1:8" ht="15">
      <c r="A50" s="26"/>
      <c r="C50" s="27"/>
      <c r="D50" s="28"/>
      <c r="E50" s="28"/>
      <c r="F50" s="26"/>
      <c r="G50" s="26"/>
      <c r="H50" s="26"/>
    </row>
    <row r="51" ht="16.5" customHeight="1"/>
    <row r="52" ht="16.5" customHeight="1"/>
    <row r="53" ht="14.25" customHeight="1"/>
    <row r="55" spans="1:10" ht="21">
      <c r="A55" s="71" t="s">
        <v>92</v>
      </c>
      <c r="B55" s="71"/>
      <c r="C55" s="71"/>
      <c r="D55" s="71"/>
      <c r="E55" s="71"/>
      <c r="F55" s="71"/>
      <c r="G55" s="71"/>
      <c r="H55" s="71"/>
      <c r="I55" s="71"/>
      <c r="J55" s="71"/>
    </row>
    <row r="57" s="5" customFormat="1" ht="15">
      <c r="A57" s="5" t="s">
        <v>39</v>
      </c>
    </row>
    <row r="58" spans="3:10" ht="15">
      <c r="C58" s="7" t="s">
        <v>20</v>
      </c>
      <c r="D58" s="65" t="s">
        <v>46</v>
      </c>
      <c r="E58" s="66"/>
      <c r="F58" s="67"/>
      <c r="G58" s="7" t="s">
        <v>21</v>
      </c>
      <c r="H58" s="68" t="s">
        <v>45</v>
      </c>
      <c r="I58" s="68"/>
      <c r="J58" s="5" t="s">
        <v>88</v>
      </c>
    </row>
    <row r="59" spans="2:10" ht="15">
      <c r="B59" s="8" t="s">
        <v>37</v>
      </c>
      <c r="C59" s="9">
        <v>173.33</v>
      </c>
      <c r="D59" s="20">
        <v>0.33</v>
      </c>
      <c r="E59" s="10">
        <v>0.45</v>
      </c>
      <c r="F59" s="21">
        <v>0.9</v>
      </c>
      <c r="G59" s="11">
        <v>0.010385</v>
      </c>
      <c r="H59" s="22" t="s">
        <v>24</v>
      </c>
      <c r="I59" s="22" t="s">
        <v>25</v>
      </c>
      <c r="J59" s="5" t="s">
        <v>89</v>
      </c>
    </row>
    <row r="60" spans="8:9" ht="15">
      <c r="H60" s="24"/>
      <c r="I60" s="24"/>
    </row>
    <row r="61" spans="1:10" ht="15">
      <c r="A61" s="4" t="s">
        <v>40</v>
      </c>
      <c r="B61" s="4">
        <f>'júní 2011'!B61+Stuðlar!I12</f>
        <v>132372</v>
      </c>
      <c r="C61" s="51">
        <f>B61/$C$5</f>
        <v>763.699301909652</v>
      </c>
      <c r="D61" s="51">
        <f>C61*Stuðlar!$A$14</f>
        <v>252.02076963018519</v>
      </c>
      <c r="E61" s="51">
        <f>C61*Stuðlar!$A$15</f>
        <v>343.6646858593434</v>
      </c>
      <c r="F61" s="51">
        <f>C61*Stuðlar!$A$16</f>
        <v>687.3293717186868</v>
      </c>
      <c r="G61" s="51">
        <v>1477.88</v>
      </c>
      <c r="H61" s="24">
        <f>B61+(50*D61)+(50*E61)+(9*G61)</f>
        <v>175457.19277447645</v>
      </c>
      <c r="I61" s="24">
        <f>B61+(61*D61)+(50*E61)+(9*G61)</f>
        <v>178229.42124040847</v>
      </c>
      <c r="J61" s="51">
        <v>1557.8</v>
      </c>
    </row>
    <row r="62" spans="1:10" ht="15">
      <c r="A62" s="4" t="s">
        <v>41</v>
      </c>
      <c r="B62" s="4">
        <f>'júní 2011'!B62+Stuðlar!I12</f>
        <v>142302</v>
      </c>
      <c r="C62" s="51">
        <f>B62/$C$5</f>
        <v>820.988865170484</v>
      </c>
      <c r="D62" s="51">
        <f>C62*Stuðlar!$A$14</f>
        <v>270.92632550625973</v>
      </c>
      <c r="E62" s="51">
        <f>C62*Stuðlar!$A$15</f>
        <v>369.4449893267178</v>
      </c>
      <c r="F62" s="51">
        <f>C62*Stuðlar!$A$16</f>
        <v>738.8899786534356</v>
      </c>
      <c r="G62" s="51">
        <v>1477.81</v>
      </c>
      <c r="H62" s="24">
        <f>B62+(50*D62)+(50*E62)+(9*G62)</f>
        <v>187620.85574164888</v>
      </c>
      <c r="I62" s="24">
        <f>B62+(61*D62)+(50*E62)+(9*G62)</f>
        <v>190601.04532221775</v>
      </c>
      <c r="J62" s="51">
        <v>1677.81</v>
      </c>
    </row>
    <row r="63" spans="1:10" ht="15">
      <c r="A63" s="4" t="s">
        <v>42</v>
      </c>
      <c r="B63" s="4">
        <f>'júní 2011'!B63+Stuðlar!I12</f>
        <v>162162</v>
      </c>
      <c r="C63" s="51">
        <f>B63/$C$5</f>
        <v>935.5679916921479</v>
      </c>
      <c r="D63" s="51">
        <f>C63*Stuðlar!$A$14</f>
        <v>308.7374372584088</v>
      </c>
      <c r="E63" s="51">
        <f>C63*Stuðlar!$A$15</f>
        <v>421.00559626146656</v>
      </c>
      <c r="F63" s="51">
        <f>C63*Stuðlar!$A$16</f>
        <v>842.0111925229331</v>
      </c>
      <c r="G63" s="51">
        <v>1684.05</v>
      </c>
      <c r="H63" s="24">
        <f>B63+(50*D63)+(50*E63)+(9*G63)</f>
        <v>213805.60167599376</v>
      </c>
      <c r="I63" s="24">
        <f>B63+(61*D63)+(50*E63)+(9*G63)</f>
        <v>217201.71348583628</v>
      </c>
      <c r="J63" s="51">
        <v>1961.05</v>
      </c>
    </row>
    <row r="64" spans="1:10" ht="15.75" thickBot="1">
      <c r="A64" s="29" t="s">
        <v>43</v>
      </c>
      <c r="B64" s="29">
        <f>'júní 2011'!B64+Stuðlar!I12</f>
        <v>172093</v>
      </c>
      <c r="C64" s="54">
        <f>B64/$C$5</f>
        <v>992.8633242946979</v>
      </c>
      <c r="D64" s="54">
        <f>C64*Stuðlar!$A$14</f>
        <v>327.64489701725034</v>
      </c>
      <c r="E64" s="54">
        <f>C64*Stuðlar!$A$15</f>
        <v>446.78849593261407</v>
      </c>
      <c r="F64" s="54">
        <f>C64*Stuðlar!$A$16</f>
        <v>893.5769918652281</v>
      </c>
      <c r="G64" s="54">
        <v>1787.19</v>
      </c>
      <c r="H64" s="30">
        <f>B64+(50*D64)+(50*E64)+(9*G64)</f>
        <v>226899.37964749322</v>
      </c>
      <c r="I64" s="30">
        <f>B64+(61*D64)+(50*E64)+(9*G64)</f>
        <v>230503.47351468296</v>
      </c>
      <c r="J64" s="51">
        <v>1996.18</v>
      </c>
    </row>
    <row r="65" spans="1:9" ht="15.75" thickTop="1">
      <c r="A65" s="25"/>
      <c r="B65" s="25"/>
      <c r="C65" s="25"/>
      <c r="D65" s="25"/>
      <c r="E65" s="25"/>
      <c r="F65" s="25"/>
      <c r="G65" s="25"/>
      <c r="H65" s="25"/>
      <c r="I65" s="25"/>
    </row>
    <row r="66" ht="15">
      <c r="A66" s="5" t="s">
        <v>44</v>
      </c>
    </row>
    <row r="67" spans="3:10" ht="15">
      <c r="C67" s="7" t="s">
        <v>20</v>
      </c>
      <c r="D67" s="65" t="s">
        <v>46</v>
      </c>
      <c r="E67" s="66"/>
      <c r="F67" s="67"/>
      <c r="G67" s="7" t="s">
        <v>21</v>
      </c>
      <c r="H67" s="74" t="s">
        <v>45</v>
      </c>
      <c r="I67" s="75"/>
      <c r="J67" s="5" t="s">
        <v>88</v>
      </c>
    </row>
    <row r="68" spans="2:10" ht="15">
      <c r="B68" s="8" t="s">
        <v>37</v>
      </c>
      <c r="C68" s="9">
        <v>173.33</v>
      </c>
      <c r="D68" s="20">
        <v>0.33</v>
      </c>
      <c r="E68" s="10">
        <v>0.45</v>
      </c>
      <c r="F68" s="21">
        <v>0.9</v>
      </c>
      <c r="G68" s="11">
        <v>0.010385</v>
      </c>
      <c r="H68" s="22" t="s">
        <v>24</v>
      </c>
      <c r="I68" s="22" t="s">
        <v>25</v>
      </c>
      <c r="J68" s="5" t="s">
        <v>89</v>
      </c>
    </row>
    <row r="69" spans="1:10" ht="15">
      <c r="A69" s="4" t="s">
        <v>55</v>
      </c>
      <c r="B69" s="55">
        <f>'júní 2011'!B69+Stuðlar!I12</f>
        <v>132372</v>
      </c>
      <c r="C69" s="51">
        <f>B69/$C$5</f>
        <v>763.699301909652</v>
      </c>
      <c r="D69" s="51">
        <f>C69*Stuðlar!$A$14</f>
        <v>252.02076963018519</v>
      </c>
      <c r="E69" s="51">
        <f>C69*Stuðlar!$A$15</f>
        <v>343.6646858593434</v>
      </c>
      <c r="F69" s="51">
        <f>C69*Stuðlar!$A$16</f>
        <v>687.3293717186868</v>
      </c>
      <c r="G69" s="51">
        <v>1477.81</v>
      </c>
      <c r="H69" s="24">
        <f>B69+(50*D69)+(50*E69)+(9*G69)</f>
        <v>175456.56277447645</v>
      </c>
      <c r="I69" s="24">
        <f>B69+(61*D69)+(50*E69)+(9*G69)</f>
        <v>178228.79124040846</v>
      </c>
      <c r="J69" s="51">
        <v>1577.8</v>
      </c>
    </row>
    <row r="70" spans="1:10" ht="15">
      <c r="A70" s="4" t="s">
        <v>41</v>
      </c>
      <c r="B70" s="55">
        <f>'júní 2011'!B70+Stuðlar!I12</f>
        <v>142302</v>
      </c>
      <c r="C70" s="51">
        <f>B70/$C$5</f>
        <v>820.988865170484</v>
      </c>
      <c r="D70" s="51">
        <f>C70*Stuðlar!$A$14</f>
        <v>270.92632550625973</v>
      </c>
      <c r="E70" s="51">
        <f>C70*Stuðlar!$A$15</f>
        <v>369.4449893267178</v>
      </c>
      <c r="F70" s="51">
        <f>C70*Stuðlar!$A$16</f>
        <v>738.8899786534356</v>
      </c>
      <c r="G70" s="51">
        <v>1477.81</v>
      </c>
      <c r="H70" s="24">
        <f>B70+(50*D70)+(50*E70)+(9*G70)</f>
        <v>187620.85574164888</v>
      </c>
      <c r="I70" s="24">
        <f>B70+(61*D70)+(50*E70)+(9*G70)</f>
        <v>190601.04532221775</v>
      </c>
      <c r="J70" s="51">
        <v>1877.81</v>
      </c>
    </row>
    <row r="71" spans="1:10" ht="15.75" thickBot="1">
      <c r="A71" s="29" t="s">
        <v>42</v>
      </c>
      <c r="B71" s="56">
        <f>'júní 2011'!B71+Stuðlar!I12</f>
        <v>167128</v>
      </c>
      <c r="C71" s="54">
        <f>B71/$C$5</f>
        <v>964.2185426642819</v>
      </c>
      <c r="D71" s="54">
        <f>C71*Stuðlar!$A$14</f>
        <v>318.19211907921306</v>
      </c>
      <c r="E71" s="54">
        <f>C71*Stuðlar!$A$15</f>
        <v>433.89834419892685</v>
      </c>
      <c r="F71" s="54">
        <f>C71*Stuðlar!$A$16</f>
        <v>867.7966883978537</v>
      </c>
      <c r="G71" s="54">
        <v>1735.62</v>
      </c>
      <c r="H71" s="30">
        <f>B71+(50*D71)+(50*E71)+(9*G71)</f>
        <v>220353.10316390698</v>
      </c>
      <c r="I71" s="30">
        <f>B71+(61*D71)+(50*E71)+(9*G71)</f>
        <v>223853.21647377833</v>
      </c>
      <c r="J71" s="51">
        <v>1978.62</v>
      </c>
    </row>
    <row r="72" spans="9:10" ht="15.75" thickTop="1">
      <c r="I72" s="25"/>
      <c r="J72" s="25"/>
    </row>
    <row r="73" spans="4:8" ht="15">
      <c r="D73" s="5" t="s">
        <v>57</v>
      </c>
      <c r="E73" s="5" t="s">
        <v>58</v>
      </c>
      <c r="F73" s="5" t="s">
        <v>59</v>
      </c>
      <c r="G73" s="5" t="s">
        <v>60</v>
      </c>
      <c r="H73" s="5" t="s">
        <v>61</v>
      </c>
    </row>
    <row r="74" spans="1:8" ht="15">
      <c r="A74" s="5" t="s">
        <v>62</v>
      </c>
      <c r="D74" s="4">
        <v>6027</v>
      </c>
      <c r="E74" s="4">
        <v>6027</v>
      </c>
      <c r="H74" s="4">
        <v>6027</v>
      </c>
    </row>
    <row r="75" spans="1:5" ht="15">
      <c r="A75" s="4" t="s">
        <v>63</v>
      </c>
      <c r="D75" s="53">
        <v>2012</v>
      </c>
      <c r="E75" s="4">
        <v>27800</v>
      </c>
    </row>
    <row r="76" spans="1:5" ht="15">
      <c r="A76" s="4" t="s">
        <v>64</v>
      </c>
      <c r="D76" s="53">
        <v>2012</v>
      </c>
      <c r="E76" s="4">
        <v>50500</v>
      </c>
    </row>
    <row r="77" ht="15">
      <c r="A77" s="4" t="s">
        <v>65</v>
      </c>
    </row>
  </sheetData>
  <sheetProtection/>
  <mergeCells count="13">
    <mergeCell ref="A1:J1"/>
    <mergeCell ref="D4:F4"/>
    <mergeCell ref="I4:J4"/>
    <mergeCell ref="I8:J8"/>
    <mergeCell ref="D16:F16"/>
    <mergeCell ref="I16:J16"/>
    <mergeCell ref="D34:F34"/>
    <mergeCell ref="I34:J34"/>
    <mergeCell ref="A55:J55"/>
    <mergeCell ref="D58:F58"/>
    <mergeCell ref="H58:I58"/>
    <mergeCell ref="D67:F67"/>
    <mergeCell ref="H67:I67"/>
  </mergeCells>
  <printOptions/>
  <pageMargins left="0.75" right="0.75" top="1" bottom="1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B54" sqref="B54"/>
    </sheetView>
  </sheetViews>
  <sheetFormatPr defaultColWidth="11.421875" defaultRowHeight="15"/>
  <cols>
    <col min="1" max="1" width="5.140625" style="4" customWidth="1"/>
    <col min="2" max="2" width="10.421875" style="4" bestFit="1" customWidth="1"/>
    <col min="3" max="3" width="8.140625" style="4" bestFit="1" customWidth="1"/>
    <col min="4" max="4" width="6.7109375" style="4" bestFit="1" customWidth="1"/>
    <col min="5" max="5" width="6.8515625" style="4" bestFit="1" customWidth="1"/>
    <col min="6" max="6" width="6.421875" style="4" bestFit="1" customWidth="1"/>
    <col min="7" max="7" width="8.28125" style="4" bestFit="1" customWidth="1"/>
    <col min="8" max="9" width="10.140625" style="4" bestFit="1" customWidth="1"/>
    <col min="10" max="10" width="8.140625" style="4" bestFit="1" customWidth="1"/>
    <col min="11" max="13" width="11.421875" style="4" customWidth="1"/>
    <col min="14" max="14" width="12.28125" style="4" customWidth="1"/>
    <col min="15" max="16384" width="11.421875" style="4" customWidth="1"/>
  </cols>
  <sheetData>
    <row r="1" spans="1:10" ht="23.25">
      <c r="A1" s="70" t="s">
        <v>93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1.25" customHeight="1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4" ht="15">
      <c r="A3" s="5" t="s">
        <v>73</v>
      </c>
      <c r="B3" s="5"/>
      <c r="C3" s="5"/>
      <c r="D3" s="5"/>
    </row>
    <row r="4" spans="1:10" ht="15">
      <c r="A4" s="6"/>
      <c r="B4" s="6"/>
      <c r="C4" s="7" t="s">
        <v>20</v>
      </c>
      <c r="D4" s="65" t="s">
        <v>46</v>
      </c>
      <c r="E4" s="72"/>
      <c r="F4" s="73"/>
      <c r="G4" s="7" t="s">
        <v>21</v>
      </c>
      <c r="H4" s="7" t="s">
        <v>22</v>
      </c>
      <c r="I4" s="74" t="s">
        <v>45</v>
      </c>
      <c r="J4" s="75"/>
    </row>
    <row r="5" spans="1:10" ht="15">
      <c r="A5" s="8"/>
      <c r="B5" s="8" t="s">
        <v>23</v>
      </c>
      <c r="C5" s="9">
        <v>173.33</v>
      </c>
      <c r="D5" s="20">
        <v>0.33</v>
      </c>
      <c r="E5" s="10">
        <v>0.45</v>
      </c>
      <c r="F5" s="21">
        <v>0.9</v>
      </c>
      <c r="G5" s="11">
        <v>0.010385</v>
      </c>
      <c r="H5" s="38">
        <v>0.01375</v>
      </c>
      <c r="I5" s="22" t="s">
        <v>24</v>
      </c>
      <c r="J5" s="22" t="s">
        <v>25</v>
      </c>
    </row>
    <row r="6" spans="1:10" ht="15">
      <c r="A6" s="4" t="s">
        <v>48</v>
      </c>
      <c r="B6" s="4">
        <f>'1. febrúar 2012'!B6+Stuðlar!I13</f>
        <v>213017</v>
      </c>
      <c r="C6" s="4">
        <f>B6/$C$5</f>
        <v>1228.96786476663</v>
      </c>
      <c r="D6" s="4">
        <f>C6*Stuðlar!$A$14</f>
        <v>405.559395372988</v>
      </c>
      <c r="E6" s="4">
        <f>C6*Stuðlar!$A$15</f>
        <v>553.0355391449835</v>
      </c>
      <c r="F6" s="4">
        <f>C6*Stuðlar!$A$16</f>
        <v>1106.071078289967</v>
      </c>
      <c r="G6" s="4">
        <f>B6*$G$5</f>
        <v>2212.181545</v>
      </c>
      <c r="H6" s="4">
        <f>B6*$H$5</f>
        <v>2928.98375</v>
      </c>
      <c r="I6" s="24">
        <f>B6+(50*D6)+(50*E6)+(9*G6)</f>
        <v>280856.3806308986</v>
      </c>
      <c r="J6" s="24">
        <f>B6+(61*D6)+(50*E6)+(9*G6)</f>
        <v>285317.5339800014</v>
      </c>
    </row>
    <row r="7" spans="8:11" ht="15">
      <c r="H7" s="25"/>
      <c r="I7" s="25"/>
      <c r="J7" s="25"/>
      <c r="K7" s="25"/>
    </row>
    <row r="8" spans="1:10" s="5" customFormat="1" ht="15">
      <c r="A8" s="5" t="s">
        <v>47</v>
      </c>
      <c r="I8" s="74" t="s">
        <v>45</v>
      </c>
      <c r="J8" s="75"/>
    </row>
    <row r="9" spans="1:10" ht="15">
      <c r="A9" s="4" t="s">
        <v>1</v>
      </c>
      <c r="B9" s="4">
        <f>'1. febrúar 2012'!B9+Stuðlar!I13</f>
        <v>237944</v>
      </c>
      <c r="C9" s="4">
        <f>B9/$C$5</f>
        <v>1372.7802457739572</v>
      </c>
      <c r="D9" s="4">
        <f>C9*Stuðlar!$A$14</f>
        <v>453.01748110540586</v>
      </c>
      <c r="E9" s="4">
        <f>C9*Stuðlar!$A$15</f>
        <v>617.7511105982808</v>
      </c>
      <c r="F9" s="4">
        <f>C9*Stuðlar!$A$16</f>
        <v>1235.5022211965615</v>
      </c>
      <c r="G9" s="4">
        <f>B9*$G$5</f>
        <v>2471.04844</v>
      </c>
      <c r="H9" s="4">
        <f>B9*$H$5</f>
        <v>3271.73</v>
      </c>
      <c r="I9" s="24">
        <f>B9+(50*D9)+(50*E9)+(9*G9)</f>
        <v>313721.8655451843</v>
      </c>
      <c r="J9" s="24">
        <f>B9+(61*D9)+(50*E9)+(9*G9)</f>
        <v>318705.0578373438</v>
      </c>
    </row>
    <row r="10" spans="1:10" ht="15">
      <c r="A10" s="4" t="s">
        <v>53</v>
      </c>
      <c r="B10" s="4">
        <f>'1. febrúar 2012'!B10+Stuðlar!I13</f>
        <v>241584</v>
      </c>
      <c r="C10" s="4">
        <f>B10/$C$5</f>
        <v>1393.7806496278774</v>
      </c>
      <c r="D10" s="4">
        <f>C10*Stuðlar!$A$14</f>
        <v>459.94761437719956</v>
      </c>
      <c r="E10" s="4">
        <f>C10*Stuðlar!$A$15</f>
        <v>627.2012923325449</v>
      </c>
      <c r="F10" s="4">
        <f>C10*Stuðlar!$A$16</f>
        <v>1254.4025846650898</v>
      </c>
      <c r="G10" s="4">
        <f>B10*$G$5</f>
        <v>2508.84984</v>
      </c>
      <c r="H10" s="4">
        <f>B10*$H$5</f>
        <v>3321.78</v>
      </c>
      <c r="I10" s="24">
        <f>B10+(50*D10)+(50*E10)+(9*G10)</f>
        <v>318521.0938954872</v>
      </c>
      <c r="J10" s="24">
        <f>B10+(61*D10)+(50*E10)+(9*G10)</f>
        <v>323580.5176536364</v>
      </c>
    </row>
    <row r="11" spans="9:10" ht="15">
      <c r="I11" s="25"/>
      <c r="J11" s="25"/>
    </row>
    <row r="12" spans="1:10" s="5" customFormat="1" ht="15">
      <c r="A12" s="5" t="s">
        <v>27</v>
      </c>
      <c r="I12" s="6"/>
      <c r="J12" s="6"/>
    </row>
    <row r="13" spans="1:10" ht="15.75" thickBot="1">
      <c r="A13" s="29"/>
      <c r="B13" s="29">
        <f>'1. febrúar 2012'!B13+Stuðlar!I13</f>
        <v>250029</v>
      </c>
      <c r="C13" s="29"/>
      <c r="D13" s="29"/>
      <c r="E13" s="29"/>
      <c r="F13" s="29"/>
      <c r="G13" s="29"/>
      <c r="H13" s="29"/>
      <c r="I13" s="29"/>
      <c r="J13" s="29"/>
    </row>
    <row r="14" spans="9:10" ht="15.75" thickTop="1">
      <c r="I14" s="25"/>
      <c r="J14" s="25"/>
    </row>
    <row r="15" spans="1:10" s="5" customFormat="1" ht="15">
      <c r="A15" s="5" t="s">
        <v>28</v>
      </c>
      <c r="I15" s="6"/>
      <c r="J15" s="6"/>
    </row>
    <row r="16" spans="3:10" s="5" customFormat="1" ht="15">
      <c r="C16" s="7" t="s">
        <v>20</v>
      </c>
      <c r="D16" s="65" t="s">
        <v>46</v>
      </c>
      <c r="E16" s="72"/>
      <c r="F16" s="73"/>
      <c r="G16" s="7" t="s">
        <v>21</v>
      </c>
      <c r="H16" s="7" t="s">
        <v>22</v>
      </c>
      <c r="I16" s="74" t="s">
        <v>45</v>
      </c>
      <c r="J16" s="75"/>
    </row>
    <row r="17" spans="2:10" s="5" customFormat="1" ht="15">
      <c r="B17" s="8" t="s">
        <v>23</v>
      </c>
      <c r="C17" s="9">
        <v>173.33</v>
      </c>
      <c r="D17" s="20">
        <v>0.33</v>
      </c>
      <c r="E17" s="10">
        <v>0.45</v>
      </c>
      <c r="F17" s="21">
        <v>0.9</v>
      </c>
      <c r="G17" s="11">
        <v>0.010385</v>
      </c>
      <c r="H17" s="38">
        <v>0.01375</v>
      </c>
      <c r="I17" s="22" t="s">
        <v>24</v>
      </c>
      <c r="J17" s="22" t="s">
        <v>25</v>
      </c>
    </row>
    <row r="18" spans="1:10" ht="15">
      <c r="A18" s="4" t="s">
        <v>1</v>
      </c>
      <c r="B18" s="4">
        <f>'1. febrúar 2012'!B18+Stuðlar!I13</f>
        <v>260604.13139999998</v>
      </c>
      <c r="C18" s="4">
        <f>B18/$C$5</f>
        <v>1503.5142871978305</v>
      </c>
      <c r="D18" s="4">
        <f>C18*Stuðlar!$A$14</f>
        <v>496.1597147752841</v>
      </c>
      <c r="E18" s="4">
        <f>C18*Stuðlar!$A$15</f>
        <v>676.5814292390238</v>
      </c>
      <c r="F18" s="4">
        <f>C18*Stuðlar!$A$16</f>
        <v>1353.1628584780476</v>
      </c>
      <c r="G18" s="4">
        <f>B18*$G$5</f>
        <v>2706.3739045889997</v>
      </c>
      <c r="H18" s="4">
        <f>B18*$H$5</f>
        <v>3583.30680675</v>
      </c>
      <c r="I18" s="24">
        <f>B18+(50*D18)+(50*E18)+(9*G18)</f>
        <v>343598.5537420164</v>
      </c>
      <c r="J18" s="24">
        <f>B18+(61*D18)+(50*E18)+(9*G18)</f>
        <v>349056.31060454453</v>
      </c>
    </row>
    <row r="19" spans="1:10" ht="15">
      <c r="A19" s="4" t="s">
        <v>53</v>
      </c>
      <c r="B19" s="4">
        <f>'1. febrúar 2012'!B19+Stuðlar!I13</f>
        <v>264648.5224</v>
      </c>
      <c r="C19" s="4">
        <f>B19/$C$5</f>
        <v>1526.8477609184793</v>
      </c>
      <c r="D19" s="4">
        <f>C19*Stuðlar!$A$14</f>
        <v>503.85976110309815</v>
      </c>
      <c r="E19" s="4">
        <f>C19*Stuðlar!$A$15</f>
        <v>687.0814924133157</v>
      </c>
      <c r="F19" s="4">
        <f>C19*Stuðlar!$A$16</f>
        <v>1374.1629848266314</v>
      </c>
      <c r="G19" s="4">
        <f>B19*$G$5</f>
        <v>2748.374905124</v>
      </c>
      <c r="H19" s="4">
        <f>B19*$H$5</f>
        <v>3638.917183</v>
      </c>
      <c r="I19" s="24">
        <f>B19+(50*D19)+(50*E19)+(9*G19)</f>
        <v>348930.95922193676</v>
      </c>
      <c r="J19" s="24">
        <f>B19+(61*D19)+(50*E19)+(9*G19)</f>
        <v>354473.41659407085</v>
      </c>
    </row>
    <row r="20" spans="1:10" ht="15">
      <c r="A20" s="4" t="s">
        <v>84</v>
      </c>
      <c r="B20" s="4">
        <f>'1. febrúar 2012'!B20+Stuðlar!I13</f>
        <v>268794.155</v>
      </c>
      <c r="C20" s="4">
        <f>B20/$C$5</f>
        <v>1550.7653320256159</v>
      </c>
      <c r="D20" s="4">
        <f>C20*Stuðlar!$A$14</f>
        <v>511.75255956845325</v>
      </c>
      <c r="E20" s="4">
        <f>C20*Stuðlar!$A$15</f>
        <v>697.8443994115272</v>
      </c>
      <c r="F20" s="4">
        <f>C20*Stuðlar!$A$16</f>
        <v>1395.6887988230544</v>
      </c>
      <c r="G20" s="4">
        <f>B20*$G$5</f>
        <v>2791.4272996750005</v>
      </c>
      <c r="H20" s="4">
        <f>B20*$H$5</f>
        <v>3695.9196312500003</v>
      </c>
      <c r="I20" s="24">
        <f>B20+(50*D20)+(50*E20)+(9*G20)</f>
        <v>354396.84864607407</v>
      </c>
      <c r="J20" s="24">
        <f>B20+(61*D20)+(50*E20)+(9*G20)</f>
        <v>360026.12680132705</v>
      </c>
    </row>
    <row r="21" spans="1:10" ht="15">
      <c r="A21" s="4" t="s">
        <v>83</v>
      </c>
      <c r="B21" s="4">
        <f>'1. febrúar 2012'!B21+Stuðlar!I13</f>
        <v>273000</v>
      </c>
      <c r="C21" s="4">
        <f>B21/$C$5</f>
        <v>1575.03028904402</v>
      </c>
      <c r="D21" s="4">
        <f>C21*Stuðlar!$A$14</f>
        <v>519.7599953845266</v>
      </c>
      <c r="E21" s="4">
        <f>C21*Stuðlar!$A$15</f>
        <v>708.763630069809</v>
      </c>
      <c r="F21" s="4">
        <f>C21*Stuðlar!$A$16</f>
        <v>1417.527260139618</v>
      </c>
      <c r="G21" s="4">
        <f>B21*$G$5</f>
        <v>2835.105</v>
      </c>
      <c r="H21" s="4">
        <f>B21*$H$5</f>
        <v>3753.75</v>
      </c>
      <c r="I21" s="24">
        <f>B21+(50*D21)+(50*E21)+(9*G21)</f>
        <v>359942.1262727168</v>
      </c>
      <c r="J21" s="24">
        <f>B21+(61*D21)+(50*E21)+(9*G21)</f>
        <v>365659.48622194654</v>
      </c>
    </row>
    <row r="22" spans="1:10" ht="15">
      <c r="A22" s="4" t="s">
        <v>85</v>
      </c>
      <c r="B22" s="4">
        <f>'1. febrúar 2012'!B22+Stuðlar!I13</f>
        <v>278271</v>
      </c>
      <c r="C22" s="4">
        <f>B22/$C$5</f>
        <v>1605.4404892401776</v>
      </c>
      <c r="D22" s="4">
        <f>C22*Stuðlar!$A$14</f>
        <v>529.7953614492586</v>
      </c>
      <c r="E22" s="4">
        <f>C22*Stuðlar!$A$15</f>
        <v>722.44822015808</v>
      </c>
      <c r="F22" s="4">
        <f>C22*Stuðlar!$A$16</f>
        <v>1444.89644031616</v>
      </c>
      <c r="G22" s="4">
        <f>B22*$G$5</f>
        <v>2889.8443350000002</v>
      </c>
      <c r="H22" s="4">
        <f>B22*$H$5</f>
        <v>3826.22625</v>
      </c>
      <c r="I22" s="24">
        <f>B22+(50*D22)+(50*E22)+(9*G22)</f>
        <v>366891.7780953669</v>
      </c>
      <c r="J22" s="24">
        <f>B22+(61*D22)+(50*E22)+(9*G22)</f>
        <v>372719.52707130875</v>
      </c>
    </row>
    <row r="23" ht="15">
      <c r="L23" s="2"/>
    </row>
    <row r="24" s="5" customFormat="1" ht="15">
      <c r="A24" s="5" t="s">
        <v>31</v>
      </c>
    </row>
    <row r="25" spans="1:12" ht="15.75" thickBot="1">
      <c r="A25" s="29"/>
      <c r="B25" s="29">
        <f>'1. febrúar 2012'!B25+Stuðlar!I13</f>
        <v>297054</v>
      </c>
      <c r="C25" s="29">
        <f>B25/$C$5</f>
        <v>1713.806034731437</v>
      </c>
      <c r="D25" s="29">
        <f>C25*Stuðlar!$A$14</f>
        <v>565.5559914613742</v>
      </c>
      <c r="E25" s="29">
        <f>C25*Stuðlar!$A$15</f>
        <v>771.2127156291466</v>
      </c>
      <c r="F25" s="29">
        <f>C25*Stuðlar!$A$16</f>
        <v>1542.4254312582932</v>
      </c>
      <c r="G25" s="29">
        <f>B25*$G$5</f>
        <v>3084.9057900000003</v>
      </c>
      <c r="H25" s="29">
        <f>B25*$H$5</f>
        <v>4084.4925</v>
      </c>
      <c r="I25" s="29">
        <f>B25+(50*D25)+(50*E25)+(9*G25)</f>
        <v>391656.58746452606</v>
      </c>
      <c r="J25" s="29">
        <f>B25+(61*D25)+(50*E25)+(9*G25)</f>
        <v>397877.7033706012</v>
      </c>
      <c r="L25"/>
    </row>
    <row r="26" ht="15.75" thickTop="1"/>
    <row r="27" spans="1:13" s="5" customFormat="1" ht="15">
      <c r="A27" s="5" t="s">
        <v>32</v>
      </c>
      <c r="M27" s="50"/>
    </row>
    <row r="28" spans="1:13" ht="15">
      <c r="A28" s="4" t="s">
        <v>78</v>
      </c>
      <c r="M28" s="51"/>
    </row>
    <row r="29" ht="15">
      <c r="A29" s="4" t="s">
        <v>81</v>
      </c>
    </row>
    <row r="30" ht="15">
      <c r="A30" s="4" t="s">
        <v>79</v>
      </c>
    </row>
    <row r="31" ht="15">
      <c r="A31" s="4" t="s">
        <v>80</v>
      </c>
    </row>
    <row r="33" spans="1:4" ht="15">
      <c r="A33" s="5" t="s">
        <v>28</v>
      </c>
      <c r="B33" s="5"/>
      <c r="C33" s="5"/>
      <c r="D33" s="5"/>
    </row>
    <row r="34" spans="3:10" ht="15">
      <c r="C34" s="7" t="s">
        <v>20</v>
      </c>
      <c r="D34" s="65" t="s">
        <v>46</v>
      </c>
      <c r="E34" s="72"/>
      <c r="F34" s="73"/>
      <c r="G34" s="7" t="s">
        <v>21</v>
      </c>
      <c r="H34" s="7" t="s">
        <v>22</v>
      </c>
      <c r="I34" s="74" t="s">
        <v>45</v>
      </c>
      <c r="J34" s="75"/>
    </row>
    <row r="35" spans="1:10" s="5" customFormat="1" ht="15">
      <c r="A35" s="8"/>
      <c r="B35" s="8" t="s">
        <v>23</v>
      </c>
      <c r="C35" s="9">
        <v>173.33</v>
      </c>
      <c r="D35" s="20">
        <v>0.33</v>
      </c>
      <c r="E35" s="10">
        <v>0.45</v>
      </c>
      <c r="F35" s="21">
        <v>0.9</v>
      </c>
      <c r="G35" s="11">
        <v>0.010385</v>
      </c>
      <c r="H35" s="38">
        <v>0.01375</v>
      </c>
      <c r="I35" s="22" t="s">
        <v>24</v>
      </c>
      <c r="J35" s="22" t="s">
        <v>25</v>
      </c>
    </row>
    <row r="36" spans="1:10" ht="15">
      <c r="A36" s="4" t="s">
        <v>53</v>
      </c>
      <c r="B36" s="4">
        <f>B19*Stuðlar!$A$5</f>
        <v>304345.80076</v>
      </c>
      <c r="C36" s="4">
        <f>B36/$C$5</f>
        <v>1755.874925056251</v>
      </c>
      <c r="D36" s="4">
        <f>C36*Stuðlar!$A$14</f>
        <v>579.4387252685628</v>
      </c>
      <c r="E36" s="4">
        <f>C36*Stuðlar!$A$15</f>
        <v>790.143716275313</v>
      </c>
      <c r="F36" s="4">
        <f>C36*Stuðlar!$A$16</f>
        <v>1580.287432550626</v>
      </c>
      <c r="G36" s="4">
        <f>B36*$G$5</f>
        <v>3160.6311408926003</v>
      </c>
      <c r="H36" s="4">
        <f>B36*$H$5</f>
        <v>4184.7547604500005</v>
      </c>
      <c r="I36" s="24">
        <f>B36+(50*D36)+(50*E36)+(9*G36)</f>
        <v>401270.6031052272</v>
      </c>
      <c r="J36" s="24">
        <f>B36+(61*D36)+(50*E36)+(9*G36)</f>
        <v>407644.42908318137</v>
      </c>
    </row>
    <row r="37" spans="1:10" ht="15">
      <c r="A37" s="4" t="s">
        <v>84</v>
      </c>
      <c r="B37" s="4">
        <f>B20*Stuðlar!$A$5</f>
        <v>309113.27825000003</v>
      </c>
      <c r="C37" s="4">
        <f>B37/$C$5</f>
        <v>1783.3801318294584</v>
      </c>
      <c r="D37" s="4">
        <f>C37*Stuðlar!$A$14</f>
        <v>588.5154435037213</v>
      </c>
      <c r="E37" s="4">
        <f>C37*Stuðlar!$A$15</f>
        <v>802.5210593232563</v>
      </c>
      <c r="F37" s="4">
        <f>C37*Stuðlar!$A$16</f>
        <v>1605.0421186465126</v>
      </c>
      <c r="G37" s="4">
        <f>B37*$G$5</f>
        <v>3210.1413946262505</v>
      </c>
      <c r="H37" s="4">
        <f>B37*$H$5</f>
        <v>4250.307575937501</v>
      </c>
      <c r="I37" s="24">
        <f>B37+(50*D37)+(50*E37)+(9*G37)</f>
        <v>407556.3759429852</v>
      </c>
      <c r="J37" s="24">
        <f>B37+(61*D37)+(50*E37)+(9*G37)</f>
        <v>414030.0458215261</v>
      </c>
    </row>
    <row r="38" spans="1:10" ht="15">
      <c r="A38" s="4" t="s">
        <v>86</v>
      </c>
      <c r="B38" s="4">
        <f>B21*Stuðlar!$A$5</f>
        <v>313950</v>
      </c>
      <c r="C38" s="4">
        <f>B38/$C$5</f>
        <v>1811.284832400623</v>
      </c>
      <c r="D38" s="4">
        <f>C38*Stuðlar!$A$14</f>
        <v>597.7239946922056</v>
      </c>
      <c r="E38" s="4">
        <f>C38*Stuðlar!$A$15</f>
        <v>815.0781745802803</v>
      </c>
      <c r="F38" s="4">
        <f>C38*Stuðlar!$A$16</f>
        <v>1630.1563491605607</v>
      </c>
      <c r="G38" s="4">
        <f>B38*$G$5</f>
        <v>3260.37075</v>
      </c>
      <c r="H38" s="4">
        <f>B38*$H$5</f>
        <v>4316.8125</v>
      </c>
      <c r="I38" s="24">
        <f>B38+(50*D38)+(50*E38)+(9*G38)</f>
        <v>413933.4452136243</v>
      </c>
      <c r="J38" s="24">
        <f>B38+(61*D38)+(50*E38)+(9*G38)</f>
        <v>420508.40915523854</v>
      </c>
    </row>
    <row r="39" spans="1:10" ht="15">
      <c r="A39" s="4" t="s">
        <v>87</v>
      </c>
      <c r="B39" s="4">
        <f>B22*Stuðlar!$A$5</f>
        <v>320011.64999999997</v>
      </c>
      <c r="C39" s="4">
        <f>B39/$C$5</f>
        <v>1846.256562626204</v>
      </c>
      <c r="D39" s="4">
        <f>C39*Stuðlar!$A$14</f>
        <v>609.2646656666474</v>
      </c>
      <c r="E39" s="4">
        <f>C39*Stuðlar!$A$15</f>
        <v>830.8154531817918</v>
      </c>
      <c r="F39" s="4">
        <f>C39*Stuðlar!$A$16</f>
        <v>1661.6309063635836</v>
      </c>
      <c r="G39" s="4">
        <f>B39*$G$5</f>
        <v>3323.3209852499995</v>
      </c>
      <c r="H39" s="4">
        <f>B39*$H$5</f>
        <v>4400.1601875</v>
      </c>
      <c r="I39" s="24">
        <f>B39+(50*D39)+(50*E39)+(9*G39)</f>
        <v>421925.54480967193</v>
      </c>
      <c r="J39" s="24">
        <f>B39+(61*D39)+(50*E39)+(9*G39)</f>
        <v>428627.456132005</v>
      </c>
    </row>
    <row r="40" spans="9:10" ht="15">
      <c r="I40" s="25"/>
      <c r="J40" s="25"/>
    </row>
    <row r="41" spans="1:11" s="5" customFormat="1" ht="15">
      <c r="A41" s="5" t="s">
        <v>31</v>
      </c>
      <c r="I41" s="44"/>
      <c r="J41" s="6"/>
      <c r="K41" s="6"/>
    </row>
    <row r="42" spans="1:10" ht="15.75" thickBot="1">
      <c r="A42" s="29"/>
      <c r="B42" s="29">
        <f>B25*Stuðlar!$A$5</f>
        <v>341612.1</v>
      </c>
      <c r="C42" s="29">
        <f>B42/$C$5</f>
        <v>1970.8769399411524</v>
      </c>
      <c r="D42" s="29">
        <f>C42*Stuðlar!$A$14</f>
        <v>650.3893901805803</v>
      </c>
      <c r="E42" s="29">
        <f>C42*Stuðlar!$A$15</f>
        <v>886.8946229735186</v>
      </c>
      <c r="F42" s="29">
        <f>C42*Stuðlar!$A$16</f>
        <v>1773.7892459470372</v>
      </c>
      <c r="G42" s="29">
        <f>B42*$G$5</f>
        <v>3547.6416584999997</v>
      </c>
      <c r="H42" s="29">
        <f>B42*$H$5</f>
        <v>4697.166375</v>
      </c>
      <c r="I42" s="30">
        <f>B42+(50*D42)+(50*E42)+(9*G42)</f>
        <v>450405.0755842049</v>
      </c>
      <c r="J42" s="30">
        <f>B42+(61*D42)+(50*E42)+(9*G42)</f>
        <v>457559.35887619125</v>
      </c>
    </row>
    <row r="43" ht="15.75" thickTop="1"/>
    <row r="44" spans="1:8" ht="15">
      <c r="A44" s="26"/>
      <c r="B44" s="26"/>
      <c r="C44" s="26"/>
      <c r="D44" s="32" t="s">
        <v>57</v>
      </c>
      <c r="E44" s="32" t="s">
        <v>58</v>
      </c>
      <c r="F44" s="32" t="s">
        <v>59</v>
      </c>
      <c r="G44" s="32" t="s">
        <v>60</v>
      </c>
      <c r="H44" s="32" t="s">
        <v>61</v>
      </c>
    </row>
    <row r="45" spans="1:8" ht="15">
      <c r="A45" s="31" t="s">
        <v>62</v>
      </c>
      <c r="B45" s="26"/>
      <c r="C45" s="26"/>
      <c r="D45" s="4">
        <v>6027</v>
      </c>
      <c r="E45" s="4">
        <v>6027</v>
      </c>
      <c r="H45" s="4">
        <v>6027</v>
      </c>
    </row>
    <row r="46" spans="1:13" ht="15">
      <c r="A46" s="4" t="s">
        <v>68</v>
      </c>
      <c r="C46" s="53">
        <v>2013</v>
      </c>
      <c r="D46" s="4">
        <v>28700</v>
      </c>
      <c r="M46" s="5"/>
    </row>
    <row r="47" spans="1:4" ht="15">
      <c r="A47" s="4" t="s">
        <v>64</v>
      </c>
      <c r="C47" s="53">
        <v>2013</v>
      </c>
      <c r="D47" s="4">
        <v>52100</v>
      </c>
    </row>
    <row r="48" spans="1:3" ht="15">
      <c r="A48" s="26"/>
      <c r="C48" s="27"/>
    </row>
    <row r="49" spans="1:8" ht="15">
      <c r="A49" s="26"/>
      <c r="C49" s="27"/>
      <c r="D49" s="28"/>
      <c r="E49" s="28"/>
      <c r="F49" s="26"/>
      <c r="G49" s="26"/>
      <c r="H49" s="26"/>
    </row>
    <row r="50" spans="1:8" ht="15">
      <c r="A50" s="26"/>
      <c r="C50" s="27"/>
      <c r="D50" s="28"/>
      <c r="E50" s="28"/>
      <c r="F50" s="26"/>
      <c r="G50" s="26"/>
      <c r="H50" s="26"/>
    </row>
    <row r="51" ht="16.5" customHeight="1"/>
    <row r="52" ht="16.5" customHeight="1"/>
    <row r="53" ht="14.25" customHeight="1"/>
    <row r="55" spans="1:10" ht="21">
      <c r="A55" s="71" t="s">
        <v>94</v>
      </c>
      <c r="B55" s="71"/>
      <c r="C55" s="71"/>
      <c r="D55" s="71"/>
      <c r="E55" s="71"/>
      <c r="F55" s="71"/>
      <c r="G55" s="71"/>
      <c r="H55" s="71"/>
      <c r="I55" s="71"/>
      <c r="J55" s="71"/>
    </row>
    <row r="57" s="5" customFormat="1" ht="15">
      <c r="A57" s="5" t="s">
        <v>39</v>
      </c>
    </row>
    <row r="58" spans="3:10" ht="15">
      <c r="C58" s="7" t="s">
        <v>20</v>
      </c>
      <c r="D58" s="65" t="s">
        <v>46</v>
      </c>
      <c r="E58" s="66"/>
      <c r="F58" s="67"/>
      <c r="G58" s="7" t="s">
        <v>21</v>
      </c>
      <c r="H58" s="68" t="s">
        <v>45</v>
      </c>
      <c r="I58" s="68"/>
      <c r="J58" s="5" t="s">
        <v>88</v>
      </c>
    </row>
    <row r="59" spans="2:10" ht="15">
      <c r="B59" s="8" t="s">
        <v>37</v>
      </c>
      <c r="C59" s="9">
        <v>173.33</v>
      </c>
      <c r="D59" s="20">
        <v>0.33</v>
      </c>
      <c r="E59" s="10">
        <v>0.45</v>
      </c>
      <c r="F59" s="21">
        <v>0.9</v>
      </c>
      <c r="G59" s="11">
        <v>0.010385</v>
      </c>
      <c r="H59" s="22" t="s">
        <v>24</v>
      </c>
      <c r="I59" s="22" t="s">
        <v>25</v>
      </c>
      <c r="J59" s="5" t="s">
        <v>89</v>
      </c>
    </row>
    <row r="60" spans="8:9" ht="15">
      <c r="H60" s="24"/>
      <c r="I60" s="24"/>
    </row>
    <row r="61" spans="1:10" ht="15">
      <c r="A61" s="4" t="s">
        <v>40</v>
      </c>
      <c r="B61" s="4">
        <f>'1. febrúar 2012'!B61+Stuðlar!I13</f>
        <v>143372</v>
      </c>
      <c r="C61" s="51">
        <f>B61/$C$5</f>
        <v>827.1620608088616</v>
      </c>
      <c r="D61" s="51">
        <f>C61*Stuðlar!$A$14</f>
        <v>272.9634800669243</v>
      </c>
      <c r="E61" s="51">
        <f>C61*Stuðlar!$A$15</f>
        <v>372.2229273639877</v>
      </c>
      <c r="F61" s="51">
        <f>C61*Stuðlar!$A$16</f>
        <v>744.4458547279754</v>
      </c>
      <c r="G61" s="51">
        <v>1592.04</v>
      </c>
      <c r="H61" s="24">
        <f>B61+(50*D61)+(50*E61)+(9*G61)</f>
        <v>189959.6803715456</v>
      </c>
      <c r="I61" s="24">
        <f>B61+(61*D61)+(50*E61)+(9*G61)</f>
        <v>192962.27865228173</v>
      </c>
      <c r="J61" s="51">
        <v>1692.04</v>
      </c>
    </row>
    <row r="62" spans="1:10" ht="15">
      <c r="A62" s="4" t="s">
        <v>41</v>
      </c>
      <c r="B62" s="4">
        <f>'1. febrúar 2012'!B62+Stuðlar!I13</f>
        <v>153302</v>
      </c>
      <c r="C62" s="51">
        <f>B62/$C$5</f>
        <v>884.4516240696936</v>
      </c>
      <c r="D62" s="51">
        <f>C62*Stuðlar!$A$14</f>
        <v>291.8690359429989</v>
      </c>
      <c r="E62" s="51">
        <f>C62*Stuðlar!$A$15</f>
        <v>398.00323083136215</v>
      </c>
      <c r="F62" s="51">
        <f>C62*Stuðlar!$A$16</f>
        <v>796.0064616627243</v>
      </c>
      <c r="G62" s="51">
        <v>1592.04</v>
      </c>
      <c r="H62" s="24">
        <f>B62+(50*D62)+(50*E62)+(9*G62)</f>
        <v>202123.97333871806</v>
      </c>
      <c r="I62" s="24">
        <f>B62+(61*D62)+(50*E62)+(9*G62)</f>
        <v>205334.53273409104</v>
      </c>
      <c r="J62" s="51">
        <v>1792.05</v>
      </c>
    </row>
    <row r="63" spans="1:10" ht="15">
      <c r="A63" s="4" t="s">
        <v>42</v>
      </c>
      <c r="B63" s="4">
        <f>'1. febrúar 2012'!B63+Stuðlar!I13</f>
        <v>173162</v>
      </c>
      <c r="C63" s="51">
        <f>B63/$C$5</f>
        <v>999.0307505913574</v>
      </c>
      <c r="D63" s="51">
        <f>C63*Stuðlar!$A$14</f>
        <v>329.680147695148</v>
      </c>
      <c r="E63" s="51">
        <f>C63*Stuðlar!$A$15</f>
        <v>449.56383776611085</v>
      </c>
      <c r="F63" s="51">
        <f>C63*Stuðlar!$A$16</f>
        <v>899.1276755322217</v>
      </c>
      <c r="G63" s="51">
        <v>1798.29</v>
      </c>
      <c r="H63" s="24">
        <f>B63+(50*D63)+(50*E63)+(9*G63)</f>
        <v>228308.8092730629</v>
      </c>
      <c r="I63" s="24">
        <f>B63+(61*D63)+(50*E63)+(9*G63)</f>
        <v>231935.29089770955</v>
      </c>
      <c r="J63" s="51">
        <v>2075.29</v>
      </c>
    </row>
    <row r="64" spans="1:10" ht="15.75" thickBot="1">
      <c r="A64" s="29" t="s">
        <v>43</v>
      </c>
      <c r="B64" s="29">
        <f>'1. febrúar 2012'!B64+Stuðlar!I13</f>
        <v>183093</v>
      </c>
      <c r="C64" s="54">
        <f>B64/$C$5</f>
        <v>1056.3260831939076</v>
      </c>
      <c r="D64" s="54">
        <f>C64*Stuðlar!$A$14</f>
        <v>348.5876074539895</v>
      </c>
      <c r="E64" s="54">
        <f>C64*Stuðlar!$A$15</f>
        <v>475.3467374372584</v>
      </c>
      <c r="F64" s="54">
        <f>C64*Stuðlar!$A$16</f>
        <v>950.6934748745168</v>
      </c>
      <c r="G64" s="54">
        <v>1901.42</v>
      </c>
      <c r="H64" s="30">
        <f>B64+(50*D64)+(50*E64)+(9*G64)</f>
        <v>241402.4972445624</v>
      </c>
      <c r="I64" s="30">
        <f>B64+(61*D64)+(50*E64)+(9*G64)</f>
        <v>245236.9609265563</v>
      </c>
      <c r="J64" s="51">
        <v>2110.42</v>
      </c>
    </row>
    <row r="65" spans="1:9" ht="15.75" thickTop="1">
      <c r="A65" s="25"/>
      <c r="B65" s="25"/>
      <c r="C65" s="25"/>
      <c r="D65" s="25"/>
      <c r="E65" s="25"/>
      <c r="F65" s="25"/>
      <c r="G65" s="25"/>
      <c r="H65" s="25"/>
      <c r="I65" s="25"/>
    </row>
    <row r="66" ht="15">
      <c r="A66" s="5" t="s">
        <v>44</v>
      </c>
    </row>
    <row r="67" spans="3:10" ht="15">
      <c r="C67" s="7" t="s">
        <v>20</v>
      </c>
      <c r="D67" s="65" t="s">
        <v>46</v>
      </c>
      <c r="E67" s="66"/>
      <c r="F67" s="67"/>
      <c r="G67" s="7" t="s">
        <v>21</v>
      </c>
      <c r="H67" s="74" t="s">
        <v>45</v>
      </c>
      <c r="I67" s="75"/>
      <c r="J67" s="5" t="s">
        <v>88</v>
      </c>
    </row>
    <row r="68" spans="2:10" ht="15">
      <c r="B68" s="8" t="s">
        <v>37</v>
      </c>
      <c r="C68" s="9">
        <v>173.33</v>
      </c>
      <c r="D68" s="20">
        <v>0.33</v>
      </c>
      <c r="E68" s="10">
        <v>0.45</v>
      </c>
      <c r="F68" s="21">
        <v>0.9</v>
      </c>
      <c r="G68" s="11">
        <v>0.010385</v>
      </c>
      <c r="H68" s="22" t="s">
        <v>24</v>
      </c>
      <c r="I68" s="22" t="s">
        <v>25</v>
      </c>
      <c r="J68" s="5" t="s">
        <v>89</v>
      </c>
    </row>
    <row r="69" spans="1:10" ht="15">
      <c r="A69" s="4" t="s">
        <v>55</v>
      </c>
      <c r="B69" s="55">
        <f>'1. febrúar 2012'!B69+Stuðlar!I13</f>
        <v>143372</v>
      </c>
      <c r="C69" s="51">
        <f>B69/$C$5</f>
        <v>827.1620608088616</v>
      </c>
      <c r="D69" s="51">
        <f>C69*Stuðlar!$A$14</f>
        <v>272.9634800669243</v>
      </c>
      <c r="E69" s="51">
        <f>C69*Stuðlar!$A$15</f>
        <v>372.2229273639877</v>
      </c>
      <c r="F69" s="51">
        <f>C69*Stuðlar!$A$16</f>
        <v>744.4458547279754</v>
      </c>
      <c r="G69" s="51">
        <v>1592.04</v>
      </c>
      <c r="H69" s="24">
        <f>B69+(50*D69)+(50*E69)+(9*G69)</f>
        <v>189959.6803715456</v>
      </c>
      <c r="I69" s="24">
        <f>B69+(61*D69)+(50*E69)+(9*G69)</f>
        <v>192962.27865228173</v>
      </c>
      <c r="J69" s="51">
        <v>1692.04</v>
      </c>
    </row>
    <row r="70" spans="1:10" ht="15">
      <c r="A70" s="4" t="s">
        <v>41</v>
      </c>
      <c r="B70" s="55">
        <f>'1. febrúar 2012'!B70+Stuðlar!I13</f>
        <v>153302</v>
      </c>
      <c r="C70" s="51">
        <f>B70/$C$5</f>
        <v>884.4516240696936</v>
      </c>
      <c r="D70" s="51">
        <f>C70*Stuðlar!$A$14</f>
        <v>291.8690359429989</v>
      </c>
      <c r="E70" s="51">
        <f>C70*Stuðlar!$A$15</f>
        <v>398.00323083136215</v>
      </c>
      <c r="F70" s="51">
        <f>C70*Stuðlar!$A$16</f>
        <v>796.0064616627243</v>
      </c>
      <c r="G70" s="51">
        <v>1592.04</v>
      </c>
      <c r="H70" s="24">
        <f>B70+(50*D70)+(50*E70)+(9*G70)</f>
        <v>202123.97333871806</v>
      </c>
      <c r="I70" s="24">
        <f>B70+(61*D70)+(50*E70)+(9*G70)</f>
        <v>205334.53273409104</v>
      </c>
      <c r="J70" s="51">
        <v>1992.04</v>
      </c>
    </row>
    <row r="71" spans="1:10" ht="15.75" thickBot="1">
      <c r="A71" s="29" t="s">
        <v>42</v>
      </c>
      <c r="B71" s="56">
        <f>'1. febrúar 2012'!B71+Stuðlar!I13</f>
        <v>178128</v>
      </c>
      <c r="C71" s="54">
        <f>B71/$C$5</f>
        <v>1027.6813015634916</v>
      </c>
      <c r="D71" s="54">
        <f>C71*Stuðlar!$A$14</f>
        <v>339.1348295159523</v>
      </c>
      <c r="E71" s="54">
        <f>C71*Stuðlar!$A$15</f>
        <v>462.45658570357125</v>
      </c>
      <c r="F71" s="54">
        <f>C71*Stuðlar!$A$16</f>
        <v>924.9131714071425</v>
      </c>
      <c r="G71" s="54">
        <v>1849.86</v>
      </c>
      <c r="H71" s="30">
        <f>B71+(50*D71)+(50*E71)+(9*G71)</f>
        <v>234856.31076097616</v>
      </c>
      <c r="I71" s="30">
        <f>B71+(61*D71)+(50*E71)+(9*G71)</f>
        <v>238586.79388565166</v>
      </c>
      <c r="J71" s="51">
        <v>2092.86</v>
      </c>
    </row>
    <row r="72" spans="9:10" ht="15.75" thickTop="1">
      <c r="I72" s="25"/>
      <c r="J72" s="25"/>
    </row>
    <row r="73" spans="4:8" ht="15">
      <c r="D73" s="5" t="s">
        <v>57</v>
      </c>
      <c r="E73" s="5" t="s">
        <v>58</v>
      </c>
      <c r="F73" s="5" t="s">
        <v>59</v>
      </c>
      <c r="G73" s="5" t="s">
        <v>60</v>
      </c>
      <c r="H73" s="5" t="s">
        <v>61</v>
      </c>
    </row>
    <row r="74" spans="1:8" ht="15">
      <c r="A74" s="5" t="s">
        <v>62</v>
      </c>
      <c r="D74" s="4">
        <v>6027</v>
      </c>
      <c r="E74" s="4">
        <v>6027</v>
      </c>
      <c r="H74" s="4">
        <v>6027</v>
      </c>
    </row>
    <row r="75" spans="1:5" ht="15">
      <c r="A75" s="4" t="s">
        <v>63</v>
      </c>
      <c r="D75" s="53">
        <v>2013</v>
      </c>
      <c r="E75" s="4">
        <v>28700</v>
      </c>
    </row>
    <row r="76" spans="1:5" ht="15">
      <c r="A76" s="4" t="s">
        <v>64</v>
      </c>
      <c r="D76" s="53">
        <v>2013</v>
      </c>
      <c r="E76" s="4">
        <v>52100</v>
      </c>
    </row>
    <row r="77" ht="15">
      <c r="A77" s="4" t="s">
        <v>65</v>
      </c>
    </row>
  </sheetData>
  <sheetProtection/>
  <mergeCells count="13">
    <mergeCell ref="A1:J1"/>
    <mergeCell ref="D4:F4"/>
    <mergeCell ref="I4:J4"/>
    <mergeCell ref="I8:J8"/>
    <mergeCell ref="D16:F16"/>
    <mergeCell ref="I16:J16"/>
    <mergeCell ref="D34:F34"/>
    <mergeCell ref="I34:J34"/>
    <mergeCell ref="A55:J55"/>
    <mergeCell ref="D58:F58"/>
    <mergeCell ref="H58:I58"/>
    <mergeCell ref="D67:F67"/>
    <mergeCell ref="H67:I67"/>
  </mergeCells>
  <printOptions/>
  <pageMargins left="0.75" right="0.75" top="1" bottom="1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48">
      <selection activeCell="P50" sqref="P49:P50"/>
    </sheetView>
  </sheetViews>
  <sheetFormatPr defaultColWidth="8.8515625" defaultRowHeight="15"/>
  <cols>
    <col min="1" max="1" width="7.140625" style="0" customWidth="1"/>
    <col min="2" max="2" width="8.00390625" style="0" customWidth="1"/>
    <col min="3" max="3" width="8.8515625" style="0" customWidth="1"/>
    <col min="4" max="5" width="6.28125" style="0" bestFit="1" customWidth="1"/>
    <col min="6" max="6" width="8.7109375" style="0" customWidth="1"/>
    <col min="7" max="7" width="7.8515625" style="0" bestFit="1" customWidth="1"/>
    <col min="8" max="9" width="7.28125" style="0" bestFit="1" customWidth="1"/>
    <col min="10" max="10" width="8.421875" style="0" bestFit="1" customWidth="1"/>
  </cols>
  <sheetData>
    <row r="1" spans="1:10" ht="23.25">
      <c r="A1" s="70" t="s">
        <v>95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3.2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15">
      <c r="A3" s="5" t="s">
        <v>73</v>
      </c>
      <c r="B3" s="5"/>
      <c r="C3" s="5"/>
      <c r="D3" s="5"/>
      <c r="E3" s="4"/>
      <c r="F3" s="4"/>
      <c r="G3" s="4"/>
      <c r="H3" s="4"/>
      <c r="I3" s="4"/>
      <c r="J3" s="4"/>
    </row>
    <row r="4" spans="1:10" ht="15">
      <c r="A4" s="6"/>
      <c r="B4" s="6"/>
      <c r="C4" s="7" t="s">
        <v>20</v>
      </c>
      <c r="D4" s="65" t="s">
        <v>46</v>
      </c>
      <c r="E4" s="72"/>
      <c r="F4" s="73"/>
      <c r="G4" s="7" t="s">
        <v>21</v>
      </c>
      <c r="H4" s="7" t="s">
        <v>22</v>
      </c>
      <c r="I4" s="74" t="s">
        <v>45</v>
      </c>
      <c r="J4" s="75"/>
    </row>
    <row r="5" spans="1:10" ht="15">
      <c r="A5" s="8"/>
      <c r="B5" s="8" t="s">
        <v>23</v>
      </c>
      <c r="C5" s="9">
        <v>173.33</v>
      </c>
      <c r="D5" s="20">
        <v>0.33</v>
      </c>
      <c r="E5" s="10">
        <v>0.45</v>
      </c>
      <c r="F5" s="21">
        <v>0.9</v>
      </c>
      <c r="G5" s="11">
        <v>0.010385</v>
      </c>
      <c r="H5" s="38">
        <v>0.01375</v>
      </c>
      <c r="I5" s="22" t="s">
        <v>24</v>
      </c>
      <c r="J5" s="22" t="s">
        <v>25</v>
      </c>
    </row>
    <row r="6" spans="1:10" ht="15">
      <c r="A6" s="4" t="s">
        <v>48</v>
      </c>
      <c r="B6" s="4">
        <f>'[1]1. febrúar 2013'!B6+'[1]Stuðlar'!I14+'[1]Stuðlar'!K14</f>
        <v>222767</v>
      </c>
      <c r="C6" s="4">
        <f>B6/$C$5</f>
        <v>1285.218946518202</v>
      </c>
      <c r="D6" s="4">
        <f>C6*'[1]Stuðlar'!$A$14</f>
        <v>424.1222523510067</v>
      </c>
      <c r="E6" s="4">
        <f>C6*'[1]Stuðlar'!$A$15</f>
        <v>578.3485259331909</v>
      </c>
      <c r="F6" s="4">
        <f>C6*'[1]Stuðlar'!$A$16</f>
        <v>1156.6970518663818</v>
      </c>
      <c r="G6" s="4">
        <f>B6*$G$5</f>
        <v>2313.435295</v>
      </c>
      <c r="H6" s="4">
        <f>B6*$H$5</f>
        <v>3063.04625</v>
      </c>
      <c r="I6" s="24">
        <f>B6+(50*D6)+(50*E6)+(9*G6)</f>
        <v>293711.45656920987</v>
      </c>
      <c r="J6" s="24">
        <f>B6+(61*D6)+(50*E6)+(9*G6)</f>
        <v>298376.80134507094</v>
      </c>
    </row>
    <row r="7" spans="1:10" ht="15">
      <c r="A7" s="4"/>
      <c r="B7" s="4"/>
      <c r="C7" s="4"/>
      <c r="D7" s="4"/>
      <c r="E7" s="4"/>
      <c r="F7" s="4"/>
      <c r="G7" s="4"/>
      <c r="H7" s="25"/>
      <c r="I7" s="25"/>
      <c r="J7" s="25"/>
    </row>
    <row r="8" spans="1:10" ht="15">
      <c r="A8" s="5" t="s">
        <v>47</v>
      </c>
      <c r="B8" s="5"/>
      <c r="C8" s="5"/>
      <c r="D8" s="5"/>
      <c r="E8" s="5"/>
      <c r="F8" s="5"/>
      <c r="G8" s="5"/>
      <c r="H8" s="5"/>
      <c r="I8" s="74" t="s">
        <v>45</v>
      </c>
      <c r="J8" s="75"/>
    </row>
    <row r="9" spans="1:10" ht="15">
      <c r="A9" s="4" t="s">
        <v>1</v>
      </c>
      <c r="B9" s="4">
        <f>'[1]1. febrúar 2013'!B9+'[1]Stuðlar'!I14</f>
        <v>245944</v>
      </c>
      <c r="C9" s="4">
        <f>B9/$C$5</f>
        <v>1418.9349795188368</v>
      </c>
      <c r="D9" s="4">
        <f>C9*'[1]Stuðlar'!$A$14</f>
        <v>468.24854324121617</v>
      </c>
      <c r="E9" s="4">
        <f>C9*'[1]Stuðlar'!$A$15</f>
        <v>638.5207407834766</v>
      </c>
      <c r="F9" s="4">
        <f>C9*'[1]Stuðlar'!$A$16</f>
        <v>1277.0414815669533</v>
      </c>
      <c r="G9" s="4">
        <f>B9*$G$5</f>
        <v>2554.12844</v>
      </c>
      <c r="H9" s="4">
        <f>B9*$H$5</f>
        <v>3381.73</v>
      </c>
      <c r="I9" s="24">
        <f>B9+(50*D9)+(50*E9)+(9*G9)</f>
        <v>324269.62016123463</v>
      </c>
      <c r="J9" s="24">
        <f>B9+(61*D9)+(50*E9)+(9*G9)</f>
        <v>329420.354136888</v>
      </c>
    </row>
    <row r="10" spans="1:10" ht="15">
      <c r="A10" s="4" t="s">
        <v>53</v>
      </c>
      <c r="B10" s="4">
        <f>'[1]1. febrúar 2013'!B10+'[1]Stuðlar'!I14</f>
        <v>249584</v>
      </c>
      <c r="C10" s="4">
        <f>B10/$C$5</f>
        <v>1439.935383372757</v>
      </c>
      <c r="D10" s="4">
        <f>C10*'[1]Stuðlar'!$A$14</f>
        <v>475.17867651300986</v>
      </c>
      <c r="E10" s="4">
        <f>C10*'[1]Stuðlar'!$A$15</f>
        <v>647.9709225177407</v>
      </c>
      <c r="F10" s="4">
        <f>C10*'[1]Stuðlar'!$A$16</f>
        <v>1295.9418450354815</v>
      </c>
      <c r="G10" s="4">
        <f>B10*$G$5</f>
        <v>2591.9298400000002</v>
      </c>
      <c r="H10" s="4">
        <f>B10*$H$5</f>
        <v>3431.78</v>
      </c>
      <c r="I10" s="24">
        <f>B10+(50*D10)+(50*E10)+(9*G10)</f>
        <v>329068.84851153754</v>
      </c>
      <c r="J10" s="24">
        <f>B10+(61*D10)+(50*E10)+(9*G10)</f>
        <v>334295.8139531807</v>
      </c>
    </row>
    <row r="11" spans="1:10" ht="15">
      <c r="A11" s="4"/>
      <c r="B11" s="4"/>
      <c r="C11" s="4"/>
      <c r="D11" s="4"/>
      <c r="E11" s="4"/>
      <c r="F11" s="4"/>
      <c r="G11" s="4"/>
      <c r="H11" s="4"/>
      <c r="I11" s="25"/>
      <c r="J11" s="25"/>
    </row>
    <row r="12" spans="1:10" ht="15">
      <c r="A12" s="5" t="s">
        <v>27</v>
      </c>
      <c r="B12" s="5"/>
      <c r="C12" s="5"/>
      <c r="D12" s="5"/>
      <c r="E12" s="5"/>
      <c r="F12" s="5"/>
      <c r="G12" s="5"/>
      <c r="H12" s="5"/>
      <c r="I12" s="6"/>
      <c r="J12" s="6"/>
    </row>
    <row r="13" spans="1:10" ht="15.75" thickBot="1">
      <c r="A13" s="29"/>
      <c r="B13" s="29">
        <f>'[1]1. febrúar 2013'!B13+'[1]Stuðlar'!I14</f>
        <v>258029</v>
      </c>
      <c r="C13" s="29"/>
      <c r="D13" s="29"/>
      <c r="E13" s="29"/>
      <c r="F13" s="29"/>
      <c r="G13" s="29"/>
      <c r="H13" s="29"/>
      <c r="I13" s="29"/>
      <c r="J13" s="29"/>
    </row>
    <row r="14" spans="1:10" ht="15.75" thickTop="1">
      <c r="A14" s="4"/>
      <c r="B14" s="4"/>
      <c r="C14" s="4"/>
      <c r="D14" s="4"/>
      <c r="E14" s="4"/>
      <c r="F14" s="4"/>
      <c r="G14" s="4"/>
      <c r="H14" s="4"/>
      <c r="I14" s="25"/>
      <c r="J14" s="25"/>
    </row>
    <row r="15" spans="1:10" ht="15">
      <c r="A15" s="5" t="s">
        <v>28</v>
      </c>
      <c r="B15" s="5"/>
      <c r="C15" s="5"/>
      <c r="D15" s="5"/>
      <c r="E15" s="5"/>
      <c r="F15" s="5"/>
      <c r="G15" s="5"/>
      <c r="H15" s="5"/>
      <c r="I15" s="6"/>
      <c r="J15" s="6"/>
    </row>
    <row r="16" spans="1:10" ht="15">
      <c r="A16" s="5"/>
      <c r="B16" s="5"/>
      <c r="C16" s="7" t="s">
        <v>20</v>
      </c>
      <c r="D16" s="65" t="s">
        <v>46</v>
      </c>
      <c r="E16" s="72"/>
      <c r="F16" s="73"/>
      <c r="G16" s="7" t="s">
        <v>21</v>
      </c>
      <c r="H16" s="7" t="s">
        <v>22</v>
      </c>
      <c r="I16" s="74" t="s">
        <v>45</v>
      </c>
      <c r="J16" s="75"/>
    </row>
    <row r="17" spans="1:10" ht="15">
      <c r="A17" s="5"/>
      <c r="B17" s="8" t="s">
        <v>23</v>
      </c>
      <c r="C17" s="9">
        <v>173.33</v>
      </c>
      <c r="D17" s="20">
        <v>0.33</v>
      </c>
      <c r="E17" s="10">
        <v>0.45</v>
      </c>
      <c r="F17" s="21">
        <v>0.9</v>
      </c>
      <c r="G17" s="11">
        <v>0.010385</v>
      </c>
      <c r="H17" s="38">
        <v>0.01375</v>
      </c>
      <c r="I17" s="22" t="s">
        <v>24</v>
      </c>
      <c r="J17" s="22" t="s">
        <v>25</v>
      </c>
    </row>
    <row r="18" spans="1:10" ht="15">
      <c r="A18" s="4" t="s">
        <v>1</v>
      </c>
      <c r="B18" s="4">
        <f>'[1]1. febrúar 2013'!B18+'[1]Stuðlar'!I14</f>
        <v>268604.13139999995</v>
      </c>
      <c r="C18" s="4">
        <f>B18/$C$5</f>
        <v>1549.6690209427102</v>
      </c>
      <c r="D18" s="4">
        <f>C18*'[1]Stuðlar'!$A$14</f>
        <v>511.3907769110944</v>
      </c>
      <c r="E18" s="4">
        <f>C18*'[1]Stuðlar'!$A$15</f>
        <v>697.3510594242196</v>
      </c>
      <c r="F18" s="4">
        <f>C18*'[1]Stuðlar'!$A$16</f>
        <v>1394.702118848439</v>
      </c>
      <c r="G18" s="4">
        <f>B18*$G$5</f>
        <v>2789.4539045889996</v>
      </c>
      <c r="H18" s="4">
        <f>B18*$H$5</f>
        <v>3693.3068067499994</v>
      </c>
      <c r="I18" s="24">
        <f>B18+(50*D18)+(50*E18)+(9*G18)</f>
        <v>354146.3083580666</v>
      </c>
      <c r="J18" s="24">
        <f>B18+(61*D18)+(50*E18)+(9*G18)</f>
        <v>359771.60690408864</v>
      </c>
    </row>
    <row r="19" spans="1:10" ht="15">
      <c r="A19" s="4" t="s">
        <v>53</v>
      </c>
      <c r="B19" s="4">
        <f>'[1]1. febrúar 2013'!B19+'[1]Stuðlar'!I14</f>
        <v>272648.5224</v>
      </c>
      <c r="C19" s="4">
        <f>B19/$C$5</f>
        <v>1573.002494663359</v>
      </c>
      <c r="D19" s="4">
        <f>C19*'[1]Stuðlar'!$A$14</f>
        <v>519.0908232389085</v>
      </c>
      <c r="E19" s="4">
        <f>C19*'[1]Stuðlar'!$A$15</f>
        <v>707.8511225985116</v>
      </c>
      <c r="F19" s="4">
        <f>C19*'[1]Stuðlar'!$A$16</f>
        <v>1415.702245197023</v>
      </c>
      <c r="G19" s="4">
        <f>B19*$G$5</f>
        <v>2831.454905124</v>
      </c>
      <c r="H19" s="4">
        <f>B19*$H$5</f>
        <v>3748.917183</v>
      </c>
      <c r="I19" s="24">
        <f>B19+(50*D19)+(50*E19)+(9*G19)</f>
        <v>359478.71383798704</v>
      </c>
      <c r="J19" s="24">
        <f>B19+(61*D19)+(50*E19)+(9*G19)</f>
        <v>365188.712893615</v>
      </c>
    </row>
    <row r="20" spans="1:10" ht="15">
      <c r="A20" s="4" t="s">
        <v>84</v>
      </c>
      <c r="B20" s="4">
        <f>'[1]1. febrúar 2013'!B20+'[1]Stuðlar'!I14</f>
        <v>276794.155</v>
      </c>
      <c r="C20" s="4">
        <f>B20/$C$5</f>
        <v>1596.9200657704957</v>
      </c>
      <c r="D20" s="4">
        <f>C20*'[1]Stuðlar'!$A$14</f>
        <v>526.9836217042637</v>
      </c>
      <c r="E20" s="4">
        <f>C20*'[1]Stuðlar'!$A$15</f>
        <v>718.6140295967231</v>
      </c>
      <c r="F20" s="4">
        <f>C20*'[1]Stuðlar'!$A$16</f>
        <v>1437.2280591934461</v>
      </c>
      <c r="G20" s="4">
        <f>B20*$G$5</f>
        <v>2874.5072996750005</v>
      </c>
      <c r="H20" s="4">
        <f>B20*$H$5</f>
        <v>3805.9196312500003</v>
      </c>
      <c r="I20" s="24">
        <f>B20+(50*D20)+(50*E20)+(9*G20)</f>
        <v>364944.60326212435</v>
      </c>
      <c r="J20" s="24">
        <f>B20+(61*D20)+(50*E20)+(9*G20)</f>
        <v>370741.4231008712</v>
      </c>
    </row>
    <row r="21" spans="1:10" ht="15">
      <c r="A21" s="4" t="s">
        <v>83</v>
      </c>
      <c r="B21" s="4">
        <f>'[1]1. febrúar 2013'!B21+'[1]Stuðlar'!I14</f>
        <v>281000</v>
      </c>
      <c r="C21" s="4">
        <f>B21/$C$5</f>
        <v>1621.1850227888997</v>
      </c>
      <c r="D21" s="4">
        <f>C21*'[1]Stuðlar'!$A$14</f>
        <v>534.9910575203369</v>
      </c>
      <c r="E21" s="4">
        <f>C21*'[1]Stuðlar'!$A$15</f>
        <v>729.5332602550048</v>
      </c>
      <c r="F21" s="4">
        <f>C21*'[1]Stuðlar'!$A$16</f>
        <v>1459.0665205100097</v>
      </c>
      <c r="G21" s="4">
        <f>B21*$G$5</f>
        <v>2918.185</v>
      </c>
      <c r="H21" s="4">
        <f>B21*$H$5</f>
        <v>3863.75</v>
      </c>
      <c r="I21" s="24">
        <f>B21+(50*D21)+(50*E21)+(9*G21)</f>
        <v>370489.880888767</v>
      </c>
      <c r="J21" s="24">
        <f>B21+(61*D21)+(50*E21)+(9*G21)</f>
        <v>376374.78252149076</v>
      </c>
    </row>
    <row r="22" spans="1:10" ht="15">
      <c r="A22" s="4" t="s">
        <v>85</v>
      </c>
      <c r="B22" s="4">
        <f>'[1]1. febrúar 2013'!B22+'[1]Stuðlar'!I14</f>
        <v>286271</v>
      </c>
      <c r="C22" s="4">
        <f>B22/$C$5</f>
        <v>1651.5952229850573</v>
      </c>
      <c r="D22" s="4">
        <f>C22*'[1]Stuðlar'!$A$14</f>
        <v>545.0264235850689</v>
      </c>
      <c r="E22" s="4">
        <f>C22*'[1]Stuðlar'!$A$15</f>
        <v>743.2178503432758</v>
      </c>
      <c r="F22" s="4">
        <f>C22*'[1]Stuðlar'!$A$16</f>
        <v>1486.4357006865516</v>
      </c>
      <c r="G22" s="4">
        <f>B22*$G$5</f>
        <v>2972.924335</v>
      </c>
      <c r="H22" s="4">
        <f>B22*$H$5</f>
        <v>3936.22625</v>
      </c>
      <c r="I22" s="24">
        <f>B22+(50*D22)+(50*E22)+(9*G22)</f>
        <v>377439.53271141724</v>
      </c>
      <c r="J22" s="24">
        <f>B22+(61*D22)+(50*E22)+(9*G22)</f>
        <v>383434.823370853</v>
      </c>
    </row>
    <row r="23" spans="1:10" ht="1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5">
      <c r="A24" s="5" t="s">
        <v>31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ht="15.75" thickBot="1">
      <c r="A25" s="29"/>
      <c r="B25" s="29">
        <f>'[1]1. febrúar 2013'!B25+('[1]1. febrúar 2013'!B25*'[1]Stuðlar'!J14)</f>
        <v>305371.512</v>
      </c>
      <c r="C25" s="29">
        <f>B25/$C$5</f>
        <v>1761.7926037039172</v>
      </c>
      <c r="D25" s="29">
        <f>C25*'[1]Stuðlar'!$A$14</f>
        <v>581.3915592222927</v>
      </c>
      <c r="E25" s="29">
        <f>C25*'[1]Stuðlar'!$A$15</f>
        <v>792.8066716667628</v>
      </c>
      <c r="F25" s="29">
        <f>C25*'[1]Stuðlar'!$A$16</f>
        <v>1585.6133433335256</v>
      </c>
      <c r="G25" s="29">
        <f>B25*$G$5</f>
        <v>3171.28315212</v>
      </c>
      <c r="H25" s="29">
        <f>B25*$H$5</f>
        <v>4198.85829</v>
      </c>
      <c r="I25" s="29">
        <f>B25+(50*D25)+(50*E25)+(9*G25)</f>
        <v>402622.97191353276</v>
      </c>
      <c r="J25" s="29">
        <f>B25+(61*D25)+(50*E25)+(9*G25)</f>
        <v>409018.27906497795</v>
      </c>
    </row>
    <row r="26" spans="1:10" ht="15.75" thickTop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5">
      <c r="A27" s="5" t="s">
        <v>32</v>
      </c>
      <c r="B27" s="5"/>
      <c r="C27" s="5"/>
      <c r="D27" s="5"/>
      <c r="E27" s="5"/>
      <c r="F27" s="5"/>
      <c r="G27" s="5"/>
      <c r="H27" s="5"/>
      <c r="I27" s="5"/>
      <c r="J27" s="5"/>
    </row>
    <row r="28" spans="1:10" ht="15">
      <c r="A28" s="4" t="s">
        <v>78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15">
      <c r="A29" s="4" t="s">
        <v>81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ht="15">
      <c r="A30" s="4" t="s">
        <v>79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15">
      <c r="A31" s="4" t="s">
        <v>80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ht="1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5">
      <c r="A33" s="5" t="s">
        <v>28</v>
      </c>
      <c r="B33" s="5"/>
      <c r="C33" s="5"/>
      <c r="D33" s="5"/>
      <c r="E33" s="4"/>
      <c r="F33" s="4"/>
      <c r="G33" s="4"/>
      <c r="H33" s="4"/>
      <c r="I33" s="4"/>
      <c r="J33" s="4"/>
    </row>
    <row r="34" spans="1:10" ht="15">
      <c r="A34" s="4"/>
      <c r="B34" s="4"/>
      <c r="C34" s="7" t="s">
        <v>20</v>
      </c>
      <c r="D34" s="65" t="s">
        <v>46</v>
      </c>
      <c r="E34" s="72"/>
      <c r="F34" s="73"/>
      <c r="G34" s="7" t="s">
        <v>21</v>
      </c>
      <c r="H34" s="7" t="s">
        <v>22</v>
      </c>
      <c r="I34" s="74" t="s">
        <v>45</v>
      </c>
      <c r="J34" s="75"/>
    </row>
    <row r="35" spans="1:10" ht="15">
      <c r="A35" s="8"/>
      <c r="B35" s="8" t="s">
        <v>23</v>
      </c>
      <c r="C35" s="9">
        <v>173.33</v>
      </c>
      <c r="D35" s="20">
        <v>0.33</v>
      </c>
      <c r="E35" s="10">
        <v>0.45</v>
      </c>
      <c r="F35" s="21">
        <v>0.9</v>
      </c>
      <c r="G35" s="11">
        <v>0.010385</v>
      </c>
      <c r="H35" s="38">
        <v>0.01375</v>
      </c>
      <c r="I35" s="22" t="s">
        <v>24</v>
      </c>
      <c r="J35" s="22" t="s">
        <v>25</v>
      </c>
    </row>
    <row r="36" spans="1:10" ht="15">
      <c r="A36" s="4" t="s">
        <v>53</v>
      </c>
      <c r="B36" s="4">
        <f>B19*'[1]Stuðlar'!$A$5</f>
        <v>313545.80076</v>
      </c>
      <c r="C36" s="4">
        <f>B36/$C$5</f>
        <v>1808.9528688628627</v>
      </c>
      <c r="D36" s="4">
        <f>C36*'[1]Stuðlar'!$A$14</f>
        <v>596.9544467247447</v>
      </c>
      <c r="E36" s="4">
        <f>C36*'[1]Stuðlar'!$A$15</f>
        <v>814.0287909882883</v>
      </c>
      <c r="F36" s="4">
        <f>C36*'[1]Stuðlar'!$A$16</f>
        <v>1628.0575819765766</v>
      </c>
      <c r="G36" s="4">
        <f>B36*$G$5</f>
        <v>3256.1731408926003</v>
      </c>
      <c r="H36" s="4">
        <f>B36*$H$5</f>
        <v>4311.2547604500005</v>
      </c>
      <c r="I36" s="24">
        <f>B36+(50*D36)+(50*E36)+(9*G36)</f>
        <v>413400.52091368503</v>
      </c>
      <c r="J36" s="24">
        <f>B36+(61*D36)+(50*E36)+(9*G36)</f>
        <v>419967.0198276572</v>
      </c>
    </row>
    <row r="37" spans="1:10" ht="15">
      <c r="A37" s="4" t="s">
        <v>84</v>
      </c>
      <c r="B37" s="4">
        <f>B20*'[1]Stuðlar'!$A$5</f>
        <v>318313.27825000003</v>
      </c>
      <c r="C37" s="4">
        <f>B37/$C$5</f>
        <v>1836.45807563607</v>
      </c>
      <c r="D37" s="4">
        <f>C37*'[1]Stuðlar'!$A$14</f>
        <v>606.0311649599031</v>
      </c>
      <c r="E37" s="4">
        <f>C37*'[1]Stuðlar'!$A$15</f>
        <v>826.4061340362315</v>
      </c>
      <c r="F37" s="4">
        <f>C37*'[1]Stuðlar'!$A$16</f>
        <v>1652.812268072463</v>
      </c>
      <c r="G37" s="4">
        <f>B37*$G$5</f>
        <v>3305.6833946262504</v>
      </c>
      <c r="H37" s="4">
        <f>B37*$H$5</f>
        <v>4376.807575937501</v>
      </c>
      <c r="I37" s="24">
        <f>B37+(50*D37)+(50*E37)+(9*G37)</f>
        <v>419686.293751443</v>
      </c>
      <c r="J37" s="24">
        <f>B37+(61*D37)+(50*E37)+(9*G37)</f>
        <v>426352.6365660019</v>
      </c>
    </row>
    <row r="38" spans="1:10" ht="15">
      <c r="A38" s="4" t="s">
        <v>86</v>
      </c>
      <c r="B38" s="4">
        <f>B21*'[1]Stuðlar'!$A$5</f>
        <v>323150</v>
      </c>
      <c r="C38" s="4">
        <f>B38/$C$5</f>
        <v>1864.3627762072347</v>
      </c>
      <c r="D38" s="4">
        <f>C38*'[1]Stuðlar'!$A$14</f>
        <v>615.2397161483875</v>
      </c>
      <c r="E38" s="4">
        <f>C38*'[1]Stuðlar'!$A$15</f>
        <v>838.9632492932557</v>
      </c>
      <c r="F38" s="4">
        <f>C38*'[1]Stuðlar'!$A$16</f>
        <v>1677.9264985865113</v>
      </c>
      <c r="G38" s="4">
        <f>B38*$G$5</f>
        <v>3355.91275</v>
      </c>
      <c r="H38" s="4">
        <f>B38*$H$5</f>
        <v>4443.3125</v>
      </c>
      <c r="I38" s="24">
        <f>B38+(50*D38)+(50*E38)+(9*G38)</f>
        <v>426063.3630220822</v>
      </c>
      <c r="J38" s="24">
        <f>B38+(61*D38)+(50*E38)+(9*G38)</f>
        <v>432830.9998997144</v>
      </c>
    </row>
    <row r="39" spans="1:10" ht="15">
      <c r="A39" s="4" t="s">
        <v>87</v>
      </c>
      <c r="B39" s="4">
        <f>B22*'[1]Stuðlar'!$A$5</f>
        <v>329211.64999999997</v>
      </c>
      <c r="C39" s="4">
        <f>B39/$C$5</f>
        <v>1899.3345064328157</v>
      </c>
      <c r="D39" s="4">
        <f>C39*'[1]Stuðlar'!$A$14</f>
        <v>626.7803871228292</v>
      </c>
      <c r="E39" s="4">
        <f>C39*'[1]Stuðlar'!$A$15</f>
        <v>854.7005278947671</v>
      </c>
      <c r="F39" s="4">
        <f>C39*'[1]Stuðlar'!$A$16</f>
        <v>1709.4010557895342</v>
      </c>
      <c r="G39" s="4">
        <f>B39*$G$5</f>
        <v>3418.86298525</v>
      </c>
      <c r="H39" s="4">
        <f>B39*$H$5</f>
        <v>4526.6601875</v>
      </c>
      <c r="I39" s="24">
        <f>B39+(50*D39)+(50*E39)+(9*G39)</f>
        <v>434055.4626181298</v>
      </c>
      <c r="J39" s="24">
        <f>B39+(61*D39)+(50*E39)+(9*G39)</f>
        <v>440950.0468764809</v>
      </c>
    </row>
    <row r="40" spans="1:10" ht="15">
      <c r="A40" s="4"/>
      <c r="B40" s="4"/>
      <c r="C40" s="4"/>
      <c r="D40" s="4"/>
      <c r="E40" s="4"/>
      <c r="F40" s="4"/>
      <c r="G40" s="4"/>
      <c r="H40" s="4"/>
      <c r="I40" s="25"/>
      <c r="J40" s="25"/>
    </row>
    <row r="41" spans="1:10" ht="15">
      <c r="A41" s="5" t="s">
        <v>31</v>
      </c>
      <c r="B41" s="5"/>
      <c r="C41" s="5"/>
      <c r="D41" s="5"/>
      <c r="E41" s="5"/>
      <c r="F41" s="5"/>
      <c r="G41" s="5"/>
      <c r="H41" s="5"/>
      <c r="I41" s="44"/>
      <c r="J41" s="6"/>
    </row>
    <row r="42" spans="1:10" ht="15.75" thickBot="1">
      <c r="A42" s="29"/>
      <c r="B42" s="29">
        <f>B25*'[1]Stuðlar'!$A$5</f>
        <v>351177.23879999993</v>
      </c>
      <c r="C42" s="29">
        <f>B42/$C$5</f>
        <v>2026.0614942595046</v>
      </c>
      <c r="D42" s="29">
        <f>C42*'[1]Stuðlar'!$A$14</f>
        <v>668.6002931056365</v>
      </c>
      <c r="E42" s="29">
        <f>C42*'[1]Stuðlar'!$A$15</f>
        <v>911.7276724167771</v>
      </c>
      <c r="F42" s="29">
        <f>C42*'[1]Stuðlar'!$A$16</f>
        <v>1823.4553448335541</v>
      </c>
      <c r="G42" s="29">
        <f>B42*$G$5</f>
        <v>3646.9756249379993</v>
      </c>
      <c r="H42" s="29">
        <f>B42*$H$5</f>
        <v>4828.687033499999</v>
      </c>
      <c r="I42" s="30">
        <f>B42+(50*D42)+(50*E42)+(9*G42)</f>
        <v>463016.4177005626</v>
      </c>
      <c r="J42" s="30">
        <f>B42+(61*D42)+(50*E42)+(9*G42)</f>
        <v>470371.0209247246</v>
      </c>
    </row>
    <row r="43" spans="1:10" ht="15.75" thickTop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5">
      <c r="A44" s="26"/>
      <c r="B44" s="26"/>
      <c r="C44" s="26"/>
      <c r="D44" s="32" t="s">
        <v>57</v>
      </c>
      <c r="E44" s="32" t="s">
        <v>58</v>
      </c>
      <c r="F44" s="32" t="s">
        <v>59</v>
      </c>
      <c r="G44" s="32" t="s">
        <v>60</v>
      </c>
      <c r="H44" s="32" t="s">
        <v>61</v>
      </c>
      <c r="I44" s="4"/>
      <c r="J44" s="4"/>
    </row>
    <row r="45" spans="1:10" ht="15">
      <c r="A45" s="31" t="s">
        <v>62</v>
      </c>
      <c r="B45" s="26"/>
      <c r="C45" s="26"/>
      <c r="D45" s="4">
        <v>6027</v>
      </c>
      <c r="E45" s="4">
        <v>6027</v>
      </c>
      <c r="F45" s="4"/>
      <c r="G45" s="4"/>
      <c r="H45" s="4">
        <v>6027</v>
      </c>
      <c r="I45" s="4"/>
      <c r="J45" s="4"/>
    </row>
    <row r="46" spans="1:10" ht="15">
      <c r="A46" s="4" t="s">
        <v>68</v>
      </c>
      <c r="B46" s="4"/>
      <c r="C46" s="53">
        <v>2014</v>
      </c>
      <c r="D46" s="4">
        <v>39500</v>
      </c>
      <c r="E46" s="4"/>
      <c r="F46" s="4"/>
      <c r="G46" s="4"/>
      <c r="H46" s="4"/>
      <c r="I46" s="4"/>
      <c r="J46" s="4"/>
    </row>
    <row r="47" spans="1:10" ht="15">
      <c r="A47" s="4" t="s">
        <v>64</v>
      </c>
      <c r="B47" s="4"/>
      <c r="C47" s="53">
        <v>2014</v>
      </c>
      <c r="D47" s="4">
        <v>73600</v>
      </c>
      <c r="E47" s="4"/>
      <c r="F47" s="4"/>
      <c r="G47" s="4"/>
      <c r="H47" s="4"/>
      <c r="I47" s="4"/>
      <c r="J47" s="4"/>
    </row>
    <row r="48" spans="1:10" ht="15">
      <c r="A48" s="26"/>
      <c r="B48" s="4"/>
      <c r="C48" s="27"/>
      <c r="D48" s="4"/>
      <c r="E48" s="4"/>
      <c r="F48" s="4"/>
      <c r="G48" s="4"/>
      <c r="H48" s="4"/>
      <c r="I48" s="4"/>
      <c r="J48" s="4"/>
    </row>
    <row r="49" spans="1:10" ht="15">
      <c r="A49" s="26"/>
      <c r="B49" s="4"/>
      <c r="C49" s="27"/>
      <c r="D49" s="28"/>
      <c r="E49" s="28"/>
      <c r="F49" s="26"/>
      <c r="G49" s="26"/>
      <c r="H49" s="26"/>
      <c r="I49" s="4"/>
      <c r="J49" s="4"/>
    </row>
    <row r="50" spans="1:10" ht="15">
      <c r="A50" s="26"/>
      <c r="B50" s="4"/>
      <c r="C50" s="27"/>
      <c r="D50" s="28"/>
      <c r="E50" s="28"/>
      <c r="F50" s="26"/>
      <c r="G50" s="26"/>
      <c r="H50" s="26"/>
      <c r="I50" s="4"/>
      <c r="J50" s="4"/>
    </row>
    <row r="51" spans="1:10" ht="1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21">
      <c r="A55" s="71" t="s">
        <v>96</v>
      </c>
      <c r="B55" s="71"/>
      <c r="C55" s="71"/>
      <c r="D55" s="71"/>
      <c r="E55" s="71"/>
      <c r="F55" s="71"/>
      <c r="G55" s="71"/>
      <c r="H55" s="71"/>
      <c r="I55" s="71"/>
      <c r="J55" s="71"/>
    </row>
    <row r="56" spans="1:10" ht="1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5">
      <c r="A57" s="5" t="s">
        <v>39</v>
      </c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4"/>
      <c r="B58" s="4"/>
      <c r="C58" s="7" t="s">
        <v>20</v>
      </c>
      <c r="D58" s="65" t="s">
        <v>46</v>
      </c>
      <c r="E58" s="66"/>
      <c r="F58" s="67"/>
      <c r="G58" s="7" t="s">
        <v>21</v>
      </c>
      <c r="H58" s="68" t="s">
        <v>45</v>
      </c>
      <c r="I58" s="68"/>
      <c r="J58" s="5" t="s">
        <v>88</v>
      </c>
    </row>
    <row r="59" spans="1:10" ht="15">
      <c r="A59" s="4"/>
      <c r="B59" s="8" t="s">
        <v>37</v>
      </c>
      <c r="C59" s="9">
        <v>173.33</v>
      </c>
      <c r="D59" s="20">
        <v>0.33</v>
      </c>
      <c r="E59" s="10">
        <v>0.45</v>
      </c>
      <c r="F59" s="21">
        <v>0.9</v>
      </c>
      <c r="G59" s="11">
        <v>0.010385</v>
      </c>
      <c r="H59" s="22" t="s">
        <v>24</v>
      </c>
      <c r="I59" s="22" t="s">
        <v>25</v>
      </c>
      <c r="J59" s="5" t="s">
        <v>89</v>
      </c>
    </row>
    <row r="60" spans="1:10" ht="15">
      <c r="A60" s="4" t="s">
        <v>40</v>
      </c>
      <c r="B60" s="4">
        <f>'[1]1. febrúar 2013'!B61+'[1]Stuðlar'!I14+'[1]Stuðlar'!K14</f>
        <v>153122</v>
      </c>
      <c r="C60" s="51">
        <f>B60/$C$5</f>
        <v>883.4131425604338</v>
      </c>
      <c r="D60" s="51">
        <f>C60*'[1]Stuðlar'!$A$14</f>
        <v>291.52633704494315</v>
      </c>
      <c r="E60" s="51">
        <f>C60*'[1]Stuðlar'!$A$15</f>
        <v>397.53591415219523</v>
      </c>
      <c r="F60" s="51">
        <f>C60*'[1]Stuðlar'!$A$16</f>
        <v>795.0718283043905</v>
      </c>
      <c r="G60" s="51">
        <v>1693.3</v>
      </c>
      <c r="H60" s="24">
        <f>B60+(50*D60)+(50*E60)+(9*G60)</f>
        <v>202814.81255985695</v>
      </c>
      <c r="I60" s="24">
        <f>B60+(61*D60)+(50*E60)+(9*G60)</f>
        <v>206021.60226735132</v>
      </c>
      <c r="J60" s="51">
        <v>1807.11</v>
      </c>
    </row>
    <row r="61" spans="1:10" ht="15">
      <c r="A61" s="4" t="s">
        <v>41</v>
      </c>
      <c r="B61" s="4">
        <f>'[1]1. febrúar 2013'!B62+'[1]Stuðlar'!I14+'[1]Stuðlar'!K14</f>
        <v>163052</v>
      </c>
      <c r="C61" s="51">
        <f>B61/$C$5</f>
        <v>940.7027058212657</v>
      </c>
      <c r="D61" s="51">
        <f>C61*'[1]Stuðlar'!$A$14</f>
        <v>310.43189292101766</v>
      </c>
      <c r="E61" s="51">
        <f>C61*'[1]Stuðlar'!$A$15</f>
        <v>423.31621761956956</v>
      </c>
      <c r="F61" s="51">
        <f>C61*'[1]Stuðlar'!$A$16</f>
        <v>846.6324352391391</v>
      </c>
      <c r="G61" s="51">
        <v>1693.3</v>
      </c>
      <c r="H61" s="24">
        <f>B61+(50*D61)+(50*E61)+(9*G61)</f>
        <v>214979.10552702937</v>
      </c>
      <c r="I61" s="24">
        <f>B61+(61*D61)+(50*E61)+(9*G61)</f>
        <v>218393.85634916057</v>
      </c>
      <c r="J61" s="51">
        <v>1906.02</v>
      </c>
    </row>
    <row r="62" spans="1:10" ht="15">
      <c r="A62" s="4" t="s">
        <v>42</v>
      </c>
      <c r="B62" s="25">
        <f>'[1]1. febrúar 2013'!B63+'[1]Stuðlar'!I14+'[1]Stuðlar'!K14</f>
        <v>182912</v>
      </c>
      <c r="C62" s="51">
        <f>B62/$C$5</f>
        <v>1055.2818323429296</v>
      </c>
      <c r="D62" s="51">
        <f>C62*'[1]Stuðlar'!$A$14</f>
        <v>348.2430046731668</v>
      </c>
      <c r="E62" s="51">
        <f>C62*'[1]Stuðlar'!$A$15</f>
        <v>474.8768245543184</v>
      </c>
      <c r="F62" s="51">
        <f>C62*'[1]Stuðlar'!$A$16</f>
        <v>949.7536491086368</v>
      </c>
      <c r="G62" s="51">
        <v>1899.54</v>
      </c>
      <c r="H62" s="24">
        <f>B62+(50*D62)+(50*E62)+(9*G62)</f>
        <v>241163.85146137426</v>
      </c>
      <c r="I62" s="24">
        <f>B62+(61*D62)+(50*E62)+(9*G62)</f>
        <v>244994.52451277908</v>
      </c>
      <c r="J62" s="51">
        <v>2192.14</v>
      </c>
    </row>
    <row r="63" spans="1:10" ht="15.75" thickBot="1">
      <c r="A63" s="29" t="s">
        <v>43</v>
      </c>
      <c r="B63" s="29">
        <f>'[1]1. febrúar 2013'!B64+'[1]Stuðlar'!I14+'[1]Stuðlar'!K14</f>
        <v>192843</v>
      </c>
      <c r="C63" s="54">
        <f>B63/$C$5</f>
        <v>1112.5771649454796</v>
      </c>
      <c r="D63" s="54">
        <f>C63*'[1]Stuðlar'!$A$14</f>
        <v>367.1504644320083</v>
      </c>
      <c r="E63" s="54">
        <f>C63*'[1]Stuðlar'!$A$15</f>
        <v>500.6597242254658</v>
      </c>
      <c r="F63" s="54">
        <f>C63*'[1]Stuðlar'!$A$16</f>
        <v>1001.3194484509316</v>
      </c>
      <c r="G63" s="54">
        <v>2002.67</v>
      </c>
      <c r="H63" s="30">
        <f>B63+(50*D63)+(50*E63)+(9*G63)</f>
        <v>254257.53943287372</v>
      </c>
      <c r="I63" s="30">
        <f>B63+(61*D63)+(50*E63)+(9*G63)</f>
        <v>258296.1945416258</v>
      </c>
      <c r="J63" s="51">
        <v>2222.8</v>
      </c>
    </row>
    <row r="64" spans="1:10" ht="15.75" thickTop="1">
      <c r="A64" s="25"/>
      <c r="B64" s="25"/>
      <c r="C64" s="25"/>
      <c r="D64" s="25"/>
      <c r="E64" s="25"/>
      <c r="F64" s="25"/>
      <c r="G64" s="25"/>
      <c r="H64" s="25"/>
      <c r="I64" s="25"/>
      <c r="J64" s="4"/>
    </row>
    <row r="65" spans="1:10" ht="15">
      <c r="A65" s="5" t="s">
        <v>44</v>
      </c>
      <c r="B65" s="4"/>
      <c r="C65" s="4"/>
      <c r="D65" s="4"/>
      <c r="E65" s="4"/>
      <c r="F65" s="4"/>
      <c r="G65" s="4"/>
      <c r="H65" s="4"/>
      <c r="I65" s="4"/>
      <c r="J65" s="4"/>
    </row>
    <row r="66" spans="1:10" ht="15">
      <c r="A66" s="4"/>
      <c r="B66" s="4"/>
      <c r="C66" s="7" t="s">
        <v>20</v>
      </c>
      <c r="D66" s="65" t="s">
        <v>46</v>
      </c>
      <c r="E66" s="66"/>
      <c r="F66" s="67"/>
      <c r="G66" s="7" t="s">
        <v>21</v>
      </c>
      <c r="H66" s="74" t="s">
        <v>45</v>
      </c>
      <c r="I66" s="75"/>
      <c r="J66" s="5" t="s">
        <v>88</v>
      </c>
    </row>
    <row r="67" spans="1:10" ht="15">
      <c r="A67" s="4"/>
      <c r="B67" s="8" t="s">
        <v>37</v>
      </c>
      <c r="C67" s="9">
        <v>173.33</v>
      </c>
      <c r="D67" s="20">
        <v>0.33</v>
      </c>
      <c r="E67" s="10">
        <v>0.45</v>
      </c>
      <c r="F67" s="21">
        <v>0.9</v>
      </c>
      <c r="G67" s="11">
        <v>0.010385</v>
      </c>
      <c r="H67" s="22" t="s">
        <v>24</v>
      </c>
      <c r="I67" s="22" t="s">
        <v>25</v>
      </c>
      <c r="J67" s="5" t="s">
        <v>89</v>
      </c>
    </row>
    <row r="68" spans="1:10" ht="15">
      <c r="A68" s="4" t="s">
        <v>55</v>
      </c>
      <c r="B68" s="15">
        <f>'[1]1. febrúar 2013'!B69+'[1]Stuðlar'!I14+'[1]Stuðlar'!K14</f>
        <v>153122</v>
      </c>
      <c r="C68" s="51">
        <f>B68/$C$5</f>
        <v>883.4131425604338</v>
      </c>
      <c r="D68" s="51">
        <f>C68*'[1]Stuðlar'!$A$14</f>
        <v>291.52633704494315</v>
      </c>
      <c r="E68" s="51">
        <f>C68*'[1]Stuðlar'!$A$15</f>
        <v>397.53591415219523</v>
      </c>
      <c r="F68" s="51">
        <f>C68*'[1]Stuðlar'!$A$16</f>
        <v>795.0718283043905</v>
      </c>
      <c r="G68" s="51">
        <v>1693.3</v>
      </c>
      <c r="H68" s="24">
        <f>B68+(50*D68)+(50*E68)+(9*G68)</f>
        <v>202814.81255985695</v>
      </c>
      <c r="I68" s="24">
        <f>B68+(61*D68)+(50*E68)+(9*G68)</f>
        <v>206021.60226735132</v>
      </c>
      <c r="J68" s="51">
        <v>1807.11</v>
      </c>
    </row>
    <row r="69" spans="1:10" ht="15">
      <c r="A69" s="4" t="s">
        <v>41</v>
      </c>
      <c r="B69" s="15">
        <f>'[1]1. febrúar 2013'!B70+'[1]Stuðlar'!I14+'[1]Stuðlar'!K14</f>
        <v>163052</v>
      </c>
      <c r="C69" s="51">
        <f>B69/$C$5</f>
        <v>940.7027058212657</v>
      </c>
      <c r="D69" s="51">
        <f>C69*'[1]Stuðlar'!$A$14</f>
        <v>310.43189292101766</v>
      </c>
      <c r="E69" s="51">
        <f>C69*'[1]Stuðlar'!$A$15</f>
        <v>423.31621761956956</v>
      </c>
      <c r="F69" s="51">
        <f>C69*'[1]Stuðlar'!$A$16</f>
        <v>846.6324352391391</v>
      </c>
      <c r="G69" s="51">
        <v>1693.3</v>
      </c>
      <c r="H69" s="24">
        <f>B69+(50*D69)+(50*E69)+(9*G69)</f>
        <v>214979.10552702937</v>
      </c>
      <c r="I69" s="24">
        <f>B69+(61*D69)+(50*E69)+(9*G69)</f>
        <v>218393.85634916057</v>
      </c>
      <c r="J69" s="51">
        <v>2118.73</v>
      </c>
    </row>
    <row r="70" spans="1:10" ht="15.75" thickBot="1">
      <c r="A70" s="29" t="s">
        <v>42</v>
      </c>
      <c r="B70" s="36">
        <f>'[1]1. febrúar 2013'!B71+'[1]Stuðlar'!I14+'[1]Stuðlar'!K14</f>
        <v>187878</v>
      </c>
      <c r="C70" s="54">
        <f>B70/$C$5</f>
        <v>1083.9323833150636</v>
      </c>
      <c r="D70" s="54">
        <f>C70*'[1]Stuðlar'!$A$14</f>
        <v>357.697686493971</v>
      </c>
      <c r="E70" s="54">
        <f>C70*'[1]Stuðlar'!$A$15</f>
        <v>487.7695724917786</v>
      </c>
      <c r="F70" s="54">
        <f>C70*'[1]Stuðlar'!$A$16</f>
        <v>975.5391449835572</v>
      </c>
      <c r="G70" s="54">
        <v>1951.11</v>
      </c>
      <c r="H70" s="30">
        <f>B70+(50*D70)+(50*E70)+(9*G70)</f>
        <v>247711.35294928745</v>
      </c>
      <c r="I70" s="30">
        <f>B70+(61*D70)+(50*E70)+(9*G70)</f>
        <v>251646.02750072116</v>
      </c>
      <c r="J70" s="51">
        <v>2207.41</v>
      </c>
    </row>
    <row r="71" spans="1:10" ht="15.75" thickTop="1">
      <c r="A71" s="4"/>
      <c r="B71" s="4"/>
      <c r="C71" s="4"/>
      <c r="D71" s="4"/>
      <c r="E71" s="4"/>
      <c r="F71" s="4"/>
      <c r="G71" s="4"/>
      <c r="H71" s="4"/>
      <c r="I71" s="25"/>
      <c r="J71" s="25"/>
    </row>
    <row r="72" spans="1:10" ht="15">
      <c r="A72" s="4"/>
      <c r="B72" s="4"/>
      <c r="C72" s="4"/>
      <c r="D72" s="5" t="s">
        <v>57</v>
      </c>
      <c r="E72" s="5" t="s">
        <v>58</v>
      </c>
      <c r="F72" s="5" t="s">
        <v>97</v>
      </c>
      <c r="G72" s="5"/>
      <c r="H72" s="5" t="s">
        <v>61</v>
      </c>
      <c r="I72" s="4"/>
      <c r="J72" s="4"/>
    </row>
    <row r="73" spans="1:10" ht="15">
      <c r="A73" s="5" t="s">
        <v>62</v>
      </c>
      <c r="B73" s="4"/>
      <c r="C73" s="4"/>
      <c r="D73" s="4">
        <v>6027</v>
      </c>
      <c r="E73" s="4">
        <v>6027</v>
      </c>
      <c r="F73" s="4">
        <v>1942</v>
      </c>
      <c r="G73" s="4"/>
      <c r="H73" s="4">
        <v>6027</v>
      </c>
      <c r="I73" s="4"/>
      <c r="J73" s="4"/>
    </row>
    <row r="74" spans="1:10" ht="15">
      <c r="A74" s="4" t="s">
        <v>63</v>
      </c>
      <c r="B74" s="4"/>
      <c r="C74" s="4"/>
      <c r="D74" s="53">
        <v>2014</v>
      </c>
      <c r="E74" s="4">
        <v>39500</v>
      </c>
      <c r="F74" s="4"/>
      <c r="G74" s="4"/>
      <c r="H74" s="4"/>
      <c r="I74" s="4"/>
      <c r="J74" s="4"/>
    </row>
    <row r="75" spans="1:10" ht="15">
      <c r="A75" s="4" t="s">
        <v>64</v>
      </c>
      <c r="B75" s="4"/>
      <c r="C75" s="4"/>
      <c r="D75" s="53">
        <v>2014</v>
      </c>
      <c r="E75" s="4">
        <v>73600</v>
      </c>
      <c r="F75" s="4"/>
      <c r="G75" s="4"/>
      <c r="H75" s="4"/>
      <c r="I75" s="4"/>
      <c r="J75" s="4"/>
    </row>
    <row r="76" spans="1:10" ht="15">
      <c r="A76" s="4" t="s">
        <v>65</v>
      </c>
      <c r="B76" s="4"/>
      <c r="C76" s="4"/>
      <c r="D76" s="4"/>
      <c r="E76" s="4"/>
      <c r="F76" s="4"/>
      <c r="G76" s="4"/>
      <c r="H76" s="4"/>
      <c r="I76" s="4"/>
      <c r="J76" s="4"/>
    </row>
    <row r="77" spans="1:10" ht="15">
      <c r="A77" s="4"/>
      <c r="B77" s="4"/>
      <c r="C77" s="4"/>
      <c r="D77" s="4"/>
      <c r="E77" s="4"/>
      <c r="F77" s="4"/>
      <c r="G77" s="4"/>
      <c r="H77" s="4"/>
      <c r="I77" s="4"/>
      <c r="J77" s="4"/>
    </row>
  </sheetData>
  <sheetProtection/>
  <mergeCells count="13">
    <mergeCell ref="D34:F34"/>
    <mergeCell ref="I34:J34"/>
    <mergeCell ref="A55:J55"/>
    <mergeCell ref="D58:F58"/>
    <mergeCell ref="H58:I58"/>
    <mergeCell ref="D66:F66"/>
    <mergeCell ref="H66:I66"/>
    <mergeCell ref="A1:J1"/>
    <mergeCell ref="D4:F4"/>
    <mergeCell ref="I4:J4"/>
    <mergeCell ref="I8:J8"/>
    <mergeCell ref="D16:F16"/>
    <mergeCell ref="I16:J16"/>
  </mergeCell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MATVIS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Níels S Olgeirsson</dc:creator>
  <cp:keywords/>
  <dc:description/>
  <cp:lastModifiedBy>Þorsteinn Gunnarsson</cp:lastModifiedBy>
  <cp:lastPrinted>2016-04-18T13:09:19Z</cp:lastPrinted>
  <dcterms:created xsi:type="dcterms:W3CDTF">2008-02-18T09:18:52Z</dcterms:created>
  <dcterms:modified xsi:type="dcterms:W3CDTF">2017-05-03T14:04:22Z</dcterms:modified>
  <cp:category/>
  <cp:version/>
  <cp:contentType/>
  <cp:contentStatus/>
</cp:coreProperties>
</file>